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20955" windowHeight="9975"/>
  </bookViews>
  <sheets>
    <sheet name="Field" sheetId="1" r:id="rId1"/>
    <sheet name="Snapshot" sheetId="2" r:id="rId2"/>
    <sheet name="Bucket" sheetId="3" r:id="rId3"/>
    <sheet name="Seasonal" sheetId="4" r:id="rId4"/>
    <sheet name="Report" sheetId="5" r:id="rId5"/>
    <sheet name="Conversions" sheetId="6" r:id="rId6"/>
  </sheets>
  <externalReferences>
    <externalReference r:id="rId7"/>
  </externalReferences>
  <definedNames>
    <definedName name="bucket">Bucket!$G$3</definedName>
    <definedName name="conv1">Bucket!$H$4</definedName>
    <definedName name="conv2">Bucket!$H$5</definedName>
    <definedName name="furr_avg">'[1]Furrow Snapshot'!$F$24</definedName>
    <definedName name="gal_acft">[1]Conversions!$B$4</definedName>
    <definedName name="gal_acin">[1]Conversions!$B$6</definedName>
    <definedName name="gal_cuft">Conversions!$B$3</definedName>
    <definedName name="_xlnm.Print_Area" localSheetId="4">Report!$B$2:$N$35</definedName>
    <definedName name="Qer">'[1]Field Info'!$H$33</definedName>
    <definedName name="Qerr">Field!$H$33</definedName>
    <definedName name="sqft_ac">[1]Conversions!$B$2</definedName>
    <definedName name="TOTgpm">Field!$M$21</definedName>
    <definedName name="TotQ">Field!$C$21</definedName>
  </definedNames>
  <calcPr calcId="125725"/>
</workbook>
</file>

<file path=xl/calcChain.xml><?xml version="1.0" encoding="utf-8"?>
<calcChain xmlns="http://schemas.openxmlformats.org/spreadsheetml/2006/main">
  <c r="D25" i="5"/>
  <c r="D5"/>
  <c r="G24"/>
  <c r="G22"/>
  <c r="G20"/>
  <c r="G18"/>
  <c r="G16"/>
  <c r="G11"/>
  <c r="D10"/>
  <c r="D11"/>
  <c r="D12"/>
  <c r="D13"/>
  <c r="D16"/>
  <c r="D17"/>
  <c r="D18"/>
  <c r="D19"/>
  <c r="D22"/>
  <c r="D23"/>
  <c r="D24"/>
  <c r="C31" i="4"/>
  <c r="C23"/>
  <c r="C22"/>
  <c r="C14"/>
  <c r="C12"/>
  <c r="C32"/>
  <c r="C9"/>
  <c r="C8"/>
  <c r="C7"/>
  <c r="C3"/>
  <c r="C21"/>
  <c r="D10" i="2"/>
  <c r="I26" i="1"/>
  <c r="F19" i="2"/>
  <c r="F21"/>
  <c r="F23"/>
  <c r="D18"/>
  <c r="F18" s="1"/>
  <c r="K18" s="1"/>
  <c r="D19"/>
  <c r="D20"/>
  <c r="F20" s="1"/>
  <c r="K20" s="1"/>
  <c r="D21"/>
  <c r="D22"/>
  <c r="F22" s="1"/>
  <c r="K22" s="1"/>
  <c r="D23"/>
  <c r="D4"/>
  <c r="F4" s="1"/>
  <c r="D5"/>
  <c r="F5" s="1"/>
  <c r="J18"/>
  <c r="J19"/>
  <c r="J20"/>
  <c r="J21"/>
  <c r="J22"/>
  <c r="J23"/>
  <c r="E59"/>
  <c r="E61"/>
  <c r="E63"/>
  <c r="E65"/>
  <c r="E30"/>
  <c r="C30"/>
  <c r="D10" i="3"/>
  <c r="E10" s="1"/>
  <c r="F10" s="1"/>
  <c r="F10" i="2" s="1"/>
  <c r="B6" i="6"/>
  <c r="B5"/>
  <c r="E34" i="4"/>
  <c r="AF33"/>
  <c r="AC33"/>
  <c r="E33"/>
  <c r="AF32"/>
  <c r="AC32"/>
  <c r="AF31"/>
  <c r="AC31"/>
  <c r="Z31"/>
  <c r="AF30"/>
  <c r="AC30"/>
  <c r="Z30"/>
  <c r="AF29"/>
  <c r="AC29"/>
  <c r="AF28"/>
  <c r="AC28"/>
  <c r="Z28"/>
  <c r="AF27"/>
  <c r="AC27"/>
  <c r="Z27"/>
  <c r="AF26"/>
  <c r="AC26"/>
  <c r="Z26"/>
  <c r="AF25"/>
  <c r="AC25"/>
  <c r="Z25"/>
  <c r="D25"/>
  <c r="AF24"/>
  <c r="AC24"/>
  <c r="D24"/>
  <c r="AF23"/>
  <c r="AC23"/>
  <c r="D23"/>
  <c r="N18"/>
  <c r="N16"/>
  <c r="N12"/>
  <c r="C5"/>
  <c r="E5" s="1"/>
  <c r="A4"/>
  <c r="E23" i="3"/>
  <c r="F23" s="1"/>
  <c r="D23"/>
  <c r="F22"/>
  <c r="E22"/>
  <c r="D22"/>
  <c r="E21"/>
  <c r="F21" s="1"/>
  <c r="D21"/>
  <c r="E20"/>
  <c r="F20" s="1"/>
  <c r="D20"/>
  <c r="E19"/>
  <c r="F19" s="1"/>
  <c r="D19"/>
  <c r="E18"/>
  <c r="F18" s="1"/>
  <c r="D18"/>
  <c r="E17"/>
  <c r="F17" s="1"/>
  <c r="D17" i="2" s="1"/>
  <c r="F17" s="1"/>
  <c r="D17" i="3"/>
  <c r="E16"/>
  <c r="F16" s="1"/>
  <c r="D16" i="2" s="1"/>
  <c r="F16" s="1"/>
  <c r="D16" i="3"/>
  <c r="E15"/>
  <c r="F15" s="1"/>
  <c r="D15" i="2" s="1"/>
  <c r="F15" s="1"/>
  <c r="D15" i="3"/>
  <c r="D14"/>
  <c r="E14" s="1"/>
  <c r="F14" s="1"/>
  <c r="D14" i="2" s="1"/>
  <c r="F14" s="1"/>
  <c r="E13" i="3"/>
  <c r="F13" s="1"/>
  <c r="D13" i="2" s="1"/>
  <c r="F13" s="1"/>
  <c r="D13" i="3"/>
  <c r="D12"/>
  <c r="E12" s="1"/>
  <c r="F12" s="1"/>
  <c r="D12" i="2" s="1"/>
  <c r="F12" s="1"/>
  <c r="D11" i="3"/>
  <c r="E11" s="1"/>
  <c r="F11" s="1"/>
  <c r="D11" i="2" s="1"/>
  <c r="F11" s="1"/>
  <c r="D9" i="3"/>
  <c r="E9" s="1"/>
  <c r="F9" s="1"/>
  <c r="D9" i="2" s="1"/>
  <c r="F9" s="1"/>
  <c r="AC8" i="3"/>
  <c r="D8"/>
  <c r="E8" s="1"/>
  <c r="F8" s="1"/>
  <c r="D8" i="2" s="1"/>
  <c r="F8" s="1"/>
  <c r="E7" i="3"/>
  <c r="F7" s="1"/>
  <c r="D7" i="2" s="1"/>
  <c r="F7" s="1"/>
  <c r="D7" i="3"/>
  <c r="D6"/>
  <c r="E6" s="1"/>
  <c r="F6" s="1"/>
  <c r="D6" i="2" s="1"/>
  <c r="F6" s="1"/>
  <c r="H5" i="3"/>
  <c r="D5"/>
  <c r="E5" s="1"/>
  <c r="F5" s="1"/>
  <c r="H4"/>
  <c r="D4"/>
  <c r="E4" s="1"/>
  <c r="F4" s="1"/>
  <c r="E3"/>
  <c r="F38" i="2"/>
  <c r="E24"/>
  <c r="C24"/>
  <c r="C27" s="1"/>
  <c r="K23"/>
  <c r="K21"/>
  <c r="K19"/>
  <c r="E66"/>
  <c r="E64"/>
  <c r="E62"/>
  <c r="E60"/>
  <c r="E58"/>
  <c r="AD32" i="1"/>
  <c r="E17"/>
  <c r="E16"/>
  <c r="AF12"/>
  <c r="AB12"/>
  <c r="D12"/>
  <c r="AB9"/>
  <c r="E9"/>
  <c r="D10" s="1"/>
  <c r="D37" s="1"/>
  <c r="E8"/>
  <c r="M8" s="1"/>
  <c r="E6"/>
  <c r="M6" s="1"/>
  <c r="Z5"/>
  <c r="Y2"/>
  <c r="N24" i="4" l="1"/>
  <c r="N3"/>
  <c r="E26" i="2"/>
  <c r="E28"/>
  <c r="E34"/>
  <c r="E35" s="1"/>
  <c r="E36" s="1"/>
  <c r="E27"/>
  <c r="E29"/>
  <c r="M17" i="1" s="1"/>
  <c r="D30" i="2"/>
  <c r="D24"/>
  <c r="F30"/>
  <c r="E6" i="4"/>
  <c r="N21"/>
  <c r="C29"/>
  <c r="C29" i="2"/>
  <c r="E57"/>
  <c r="E67" s="1"/>
  <c r="E69" s="1"/>
  <c r="F24"/>
  <c r="C26"/>
  <c r="C28"/>
  <c r="D36" i="1"/>
  <c r="F11"/>
  <c r="F12"/>
  <c r="M9"/>
  <c r="M12"/>
  <c r="D13"/>
  <c r="J16" i="2" l="1"/>
  <c r="J17"/>
  <c r="J14"/>
  <c r="J15"/>
  <c r="J12"/>
  <c r="J13"/>
  <c r="J10"/>
  <c r="J11"/>
  <c r="C33" i="1"/>
  <c r="J8" i="2"/>
  <c r="J9"/>
  <c r="J6"/>
  <c r="J7"/>
  <c r="J28"/>
  <c r="J27"/>
  <c r="J4"/>
  <c r="J5"/>
  <c r="J29"/>
  <c r="J30"/>
  <c r="J26"/>
  <c r="O26"/>
  <c r="F29"/>
  <c r="F26"/>
  <c r="F27"/>
  <c r="F34"/>
  <c r="D27"/>
  <c r="I10" s="1"/>
  <c r="F33" i="1"/>
  <c r="D26" i="2"/>
  <c r="D29"/>
  <c r="D28"/>
  <c r="D34"/>
  <c r="D35" s="1"/>
  <c r="D36" s="1"/>
  <c r="I30" s="1"/>
  <c r="C30" i="4"/>
  <c r="F28" i="2"/>
  <c r="K16" l="1"/>
  <c r="K17"/>
  <c r="E32"/>
  <c r="E31"/>
  <c r="J31"/>
  <c r="J32" s="1"/>
  <c r="I4"/>
  <c r="I12"/>
  <c r="I7"/>
  <c r="I9"/>
  <c r="I15"/>
  <c r="I16"/>
  <c r="I17"/>
  <c r="I19"/>
  <c r="I21"/>
  <c r="I23"/>
  <c r="I18"/>
  <c r="I20"/>
  <c r="I22"/>
  <c r="K4"/>
  <c r="K8"/>
  <c r="K6"/>
  <c r="K13"/>
  <c r="K7"/>
  <c r="K11"/>
  <c r="K15"/>
  <c r="K9"/>
  <c r="K10"/>
  <c r="K14"/>
  <c r="K12"/>
  <c r="K5"/>
  <c r="F35"/>
  <c r="F36" s="1"/>
  <c r="I13"/>
  <c r="I5"/>
  <c r="I8"/>
  <c r="I11"/>
  <c r="I14"/>
  <c r="I6"/>
  <c r="K3"/>
  <c r="F3"/>
  <c r="I29"/>
  <c r="I28"/>
  <c r="I27"/>
  <c r="I26"/>
  <c r="M16" i="1"/>
  <c r="C32" s="1"/>
  <c r="C33" i="4"/>
  <c r="C58" i="2"/>
  <c r="C57"/>
  <c r="C35" i="1" l="1"/>
  <c r="D38" s="1"/>
  <c r="C34"/>
  <c r="F32" i="2"/>
  <c r="D32"/>
  <c r="F31"/>
  <c r="D31"/>
  <c r="K28"/>
  <c r="K29"/>
  <c r="K26"/>
  <c r="K30"/>
  <c r="K27"/>
  <c r="M18" i="1"/>
  <c r="B35" i="4"/>
  <c r="N35"/>
  <c r="N28"/>
  <c r="F58" i="2"/>
  <c r="K31" l="1"/>
  <c r="K32" s="1"/>
  <c r="F57"/>
  <c r="F59"/>
  <c r="F61"/>
  <c r="F63"/>
  <c r="F65"/>
  <c r="C61"/>
  <c r="C60"/>
  <c r="C64"/>
  <c r="C62"/>
  <c r="C66"/>
  <c r="C59"/>
  <c r="C63"/>
  <c r="C65"/>
  <c r="F60"/>
  <c r="F62"/>
  <c r="F64"/>
  <c r="F66"/>
  <c r="C67" l="1"/>
  <c r="C69" s="1"/>
  <c r="F67"/>
  <c r="F69" s="1"/>
  <c r="I31" l="1"/>
  <c r="I32" l="1"/>
  <c r="O27" s="1"/>
  <c r="E34" i="1" s="1"/>
</calcChain>
</file>

<file path=xl/sharedStrings.xml><?xml version="1.0" encoding="utf-8"?>
<sst xmlns="http://schemas.openxmlformats.org/spreadsheetml/2006/main" count="395" uniqueCount="315">
  <si>
    <t>SMALL ACREAGE IRRIGATION AUDIT</t>
  </si>
  <si>
    <t>NOTE:</t>
  </si>
  <si>
    <t>For best result test furrows during second half of set (after water has advanced to tail ditch)</t>
  </si>
  <si>
    <t>man/auto?</t>
  </si>
  <si>
    <t>Qunits?</t>
  </si>
  <si>
    <t>system?</t>
  </si>
  <si>
    <t>furrows</t>
  </si>
  <si>
    <t>Gated Pipe and Cement Ditch - 2010</t>
  </si>
  <si>
    <t>GVIC</t>
  </si>
  <si>
    <t xml:space="preserve">manual </t>
  </si>
  <si>
    <t>gpm</t>
  </si>
  <si>
    <t>gated pipe</t>
  </si>
  <si>
    <t>flume</t>
  </si>
  <si>
    <t>table</t>
  </si>
  <si>
    <t>cfs</t>
  </si>
  <si>
    <t>cement ditch</t>
  </si>
  <si>
    <t>none</t>
  </si>
  <si>
    <t>Table</t>
  </si>
  <si>
    <t>Manual</t>
  </si>
  <si>
    <t>Calc unit</t>
  </si>
  <si>
    <t>GVWUA</t>
  </si>
  <si>
    <t>Land</t>
  </si>
  <si>
    <t>Audit area acres</t>
  </si>
  <si>
    <t>sq-ft</t>
  </si>
  <si>
    <t>ac</t>
  </si>
  <si>
    <t>source&gt;&gt;</t>
  </si>
  <si>
    <t>OMID</t>
  </si>
  <si>
    <t>mag-flow/flume</t>
  </si>
  <si>
    <t>every</t>
  </si>
  <si>
    <t>Redlands</t>
  </si>
  <si>
    <t>None</t>
  </si>
  <si>
    <t>gates/tubes</t>
  </si>
  <si>
    <t>alternate</t>
  </si>
  <si>
    <t>Crop</t>
  </si>
  <si>
    <t>Pasture/Turf</t>
  </si>
  <si>
    <t>in. root depth</t>
  </si>
  <si>
    <t>- OR -</t>
  </si>
  <si>
    <t>ft</t>
  </si>
  <si>
    <t>Ute</t>
  </si>
  <si>
    <t>Soil Type</t>
  </si>
  <si>
    <t>Silt Loam</t>
  </si>
  <si>
    <t>WHC (in)</t>
  </si>
  <si>
    <t>in/ft</t>
  </si>
  <si>
    <t>Well Water</t>
  </si>
  <si>
    <t>Root Zone WHC</t>
  </si>
  <si>
    <t>in</t>
  </si>
  <si>
    <t>Private Well</t>
  </si>
  <si>
    <t>PreIrrig Moisture</t>
  </si>
  <si>
    <t>%</t>
  </si>
  <si>
    <t>MAD</t>
  </si>
  <si>
    <t>Siphon Tube Discharge (gpm)</t>
  </si>
  <si>
    <t>Root Zone MAD</t>
  </si>
  <si>
    <t>head in&gt;</t>
  </si>
  <si>
    <t>Measurement</t>
  </si>
  <si>
    <t>System Type</t>
  </si>
  <si>
    <t>Input</t>
  </si>
  <si>
    <t>Output</t>
  </si>
  <si>
    <t>Application</t>
  </si>
  <si>
    <t>to field</t>
  </si>
  <si>
    <t>from field</t>
  </si>
  <si>
    <t>hrs of set</t>
  </si>
  <si>
    <t>pipe dia (in)</t>
  </si>
  <si>
    <t>hrs to advance</t>
  </si>
  <si>
    <t>in. centers</t>
  </si>
  <si>
    <t>furrow(s) irrigated</t>
  </si>
  <si>
    <t>%"subbing" (horizontal wetting)</t>
  </si>
  <si>
    <t>furrows irrigated</t>
  </si>
  <si>
    <t>Root Zone Depths and Management Allowable Depletion for Selected Crops</t>
  </si>
  <si>
    <t>ft. Avg furrow length (ft)</t>
  </si>
  <si>
    <t>http://www.usbr.gov/pn/agrimet/irrigation.html#Root</t>
  </si>
  <si>
    <t>The plant root zone determines the soil depth from which the crop can draw moisture. This table shows the root zones that mature crops depend on for 90% of their water needs, and the percent of total available moisture that crops can withdraw without suffering stress or yield loss. This percent is also referred to as "Management Allowed Depletion", or MAD.</t>
  </si>
  <si>
    <t>Results</t>
  </si>
  <si>
    <t>gross inches per set</t>
  </si>
  <si>
    <t>Root Zone*</t>
  </si>
  <si>
    <t>Time to Reach</t>
  </si>
  <si>
    <t>Allowable</t>
  </si>
  <si>
    <t>hay crop?</t>
  </si>
  <si>
    <t>field inches per set</t>
  </si>
  <si>
    <t xml:space="preserve">(ft) </t>
  </si>
  <si>
    <t>Mature Root Zone</t>
  </si>
  <si>
    <t>Depletion (%)</t>
  </si>
  <si>
    <t>Field Eff</t>
  </si>
  <si>
    <t>DU</t>
  </si>
  <si>
    <t>Alfalfa</t>
  </si>
  <si>
    <t>gal</t>
  </si>
  <si>
    <t>Irrig Eff</t>
  </si>
  <si>
    <t>Contact:</t>
  </si>
  <si>
    <t>Denis Reich</t>
  </si>
  <si>
    <t>Min IrrigQ</t>
  </si>
  <si>
    <t>Water Resources Specialist</t>
  </si>
  <si>
    <t>Small Grains</t>
  </si>
  <si>
    <t>heading</t>
  </si>
  <si>
    <t>Max IrrigQ</t>
  </si>
  <si>
    <t>970-242-8683</t>
  </si>
  <si>
    <t>Beans</t>
  </si>
  <si>
    <t>50 days after plant</t>
  </si>
  <si>
    <t>Unused IrrigQ</t>
  </si>
  <si>
    <t>gal per irrig</t>
  </si>
  <si>
    <t>970-201-8467</t>
  </si>
  <si>
    <t>Corn</t>
  </si>
  <si>
    <t>10 days after tassel</t>
  </si>
  <si>
    <t>Denis.Reich@Colostate.edu</t>
  </si>
  <si>
    <t>Orchard</t>
  </si>
  <si>
    <t>* Orchard listed as "50-65" MAD</t>
  </si>
  <si>
    <t>Grapes</t>
  </si>
  <si>
    <t>*Root zones can be limited by shallow soils, compaction layers and dry soil. </t>
  </si>
  <si>
    <t>Soil Water Storage Capacities</t>
  </si>
  <si>
    <t>The texture of soil to be irrigated is very important in determining when and how much to irrigate. This table lists the abilities of different soil types to store and make water available to plants.</t>
  </si>
  <si>
    <t>Soil</t>
  </si>
  <si>
    <t>Available</t>
  </si>
  <si>
    <t>Moisture</t>
  </si>
  <si>
    <t>General Description</t>
  </si>
  <si>
    <t>Texture Class</t>
  </si>
  <si>
    <t>per foot</t>
  </si>
  <si>
    <t>Light, Sandy</t>
  </si>
  <si>
    <t>Coarse Sand</t>
  </si>
  <si>
    <t>0.7 inches</t>
  </si>
  <si>
    <t>Fine Sand</t>
  </si>
  <si>
    <t>Sandy Loam</t>
  </si>
  <si>
    <t>Fine Sandy Loam</t>
  </si>
  <si>
    <t>Medium,</t>
  </si>
  <si>
    <t>S-C Loam</t>
  </si>
  <si>
    <t>Loam</t>
  </si>
  <si>
    <t>Loam </t>
  </si>
  <si>
    <t>Heavy, Clay</t>
  </si>
  <si>
    <t>Clay Loam</t>
  </si>
  <si>
    <t>Clays; Peats/Mucks</t>
  </si>
  <si>
    <t>*Values are for deep, uniform soil profiles. Layering or changes in soil texture within the profile may increase or decrease effective available water.</t>
  </si>
  <si>
    <t>Top Measure?</t>
  </si>
  <si>
    <t>bucket</t>
  </si>
  <si>
    <t>1. Raw Furrow Flows (gpm)</t>
  </si>
  <si>
    <t>Bottom</t>
  </si>
  <si>
    <t>Top</t>
  </si>
  <si>
    <t>flumes</t>
  </si>
  <si>
    <t>AVG</t>
  </si>
  <si>
    <t>Addits</t>
  </si>
  <si>
    <t>Low BotQuart</t>
  </si>
  <si>
    <t>a</t>
  </si>
  <si>
    <t>DU type:</t>
  </si>
  <si>
    <t>Upp BotQuart</t>
  </si>
  <si>
    <t>b</t>
  </si>
  <si>
    <t>Upp TopQuart</t>
  </si>
  <si>
    <t>Count</t>
  </si>
  <si>
    <t>c</t>
  </si>
  <si>
    <t>CountMed</t>
  </si>
  <si>
    <t>d</t>
  </si>
  <si>
    <t>Loss%</t>
  </si>
  <si>
    <t>addits</t>
  </si>
  <si>
    <t>e</t>
  </si>
  <si>
    <t>Discarded</t>
  </si>
  <si>
    <t>Median</t>
  </si>
  <si>
    <t>ET=perc</t>
  </si>
  <si>
    <t>1. Gated Pipe Bucket Test (secs)</t>
  </si>
  <si>
    <t>Bucket Vol:</t>
  </si>
  <si>
    <t>oz</t>
  </si>
  <si>
    <t>sec to fill</t>
  </si>
  <si>
    <t>unit/min</t>
  </si>
  <si>
    <t>conversion1</t>
  </si>
  <si>
    <t>L</t>
  </si>
  <si>
    <t>conversion2</t>
  </si>
  <si>
    <t>Soils</t>
  </si>
  <si>
    <t>http://websoilsurvey.nrcs.usda.gov/app/HomePage.htm</t>
  </si>
  <si>
    <t>Definition</t>
  </si>
  <si>
    <t>Analysis and Recommendations</t>
  </si>
  <si>
    <t>IR = Infiltration Rate or velocity at which water percolates into the soil. When the soil is in good condition or has good soil health, it has stable structure and continuous pores to the surface. This allows water from rainfall or irrigation to enter unimpeded. Soil can be a excellent temporary storage medium for water, depending on the type and condition of the soil. Proper management of the soil can help maximize infiltration and capture as much water as allowed by a specific soil type.</t>
  </si>
  <si>
    <t>Soil Texture, Type</t>
  </si>
  <si>
    <t>IR Infil rate (in/hr)</t>
  </si>
  <si>
    <t>laser levelled</t>
  </si>
  <si>
    <t>&lt;weekly</t>
  </si>
  <si>
    <t>Slope</t>
  </si>
  <si>
    <t>0-4%</t>
  </si>
  <si>
    <t>5-8%</t>
  </si>
  <si>
    <t>reasonably level</t>
  </si>
  <si>
    <t>weekly</t>
  </si>
  <si>
    <r>
      <t xml:space="preserve">Optimum or </t>
    </r>
    <r>
      <rPr>
        <sz val="10"/>
        <color indexed="53"/>
        <rFont val="Arial"/>
        <family val="2"/>
      </rPr>
      <t xml:space="preserve">above optimum </t>
    </r>
    <r>
      <rPr>
        <sz val="11"/>
        <color theme="1"/>
        <rFont val="Calibri"/>
        <family val="2"/>
        <scheme val="minor"/>
      </rPr>
      <t>infiltration: soils are well maintained. Check measurements for above optimum flows and be careful that deep percolation and/or groundwater flows are not interferring with neighboring irrigation water management or river basin salinity problems.</t>
    </r>
  </si>
  <si>
    <t>Standard IR</t>
  </si>
  <si>
    <t>somehwat uneven</t>
  </si>
  <si>
    <t>1-2 weekly</t>
  </si>
  <si>
    <t>uneven IR</t>
  </si>
  <si>
    <t>biweekly</t>
  </si>
  <si>
    <t>Field</t>
  </si>
  <si>
    <t>Shallow hardpan layer: the available root zone is less than the planted crop needs for healthy growth. Recommendations: 1. plant a hardy shallow rooting crop like grass hay; 2 minimize trash removal to build organic matter; 3 avoid deep rooting crops like alfalfa.</t>
  </si>
  <si>
    <t>Best Avg furrow perc</t>
  </si>
  <si>
    <t>gph</t>
  </si>
  <si>
    <t>highly vairable slope</t>
  </si>
  <si>
    <t>&gt;bi weekly</t>
  </si>
  <si>
    <t>No Hardpan or deep hardpan layer: the available root zone is sufficient to support your planted crop.</t>
  </si>
  <si>
    <t>Irrigated Area</t>
  </si>
  <si>
    <t>Best estimated IR (perc)</t>
  </si>
  <si>
    <t>in/hr</t>
  </si>
  <si>
    <t>variable</t>
  </si>
  <si>
    <t>Uneven fields: with uneven fields consistently successful irrigation requires a large labor input. Recommendations: contact NRCS for help levelling your field.</t>
  </si>
  <si>
    <t>Even grade field: is a good foundation for effective irrigation. It's important that this is matched with a consistent, well marked furrow pattern.</t>
  </si>
  <si>
    <t>&gt;4</t>
  </si>
  <si>
    <t>this year</t>
  </si>
  <si>
    <t>Poor furrow pattern / maintenance: limits irrigation uniformity. Recommendations: 1. even numbered furrow pattern; 2. remark annually</t>
  </si>
  <si>
    <t>A hardpan layer is a layer of impermeable bedrock or clay that prevents irrigation percolating deeper. A hardpan layer can limit the rooting depth of certain crops such as alfalfa. It also limits the water storage capacity of soils and can influence groundwater flows into neighboring fields.</t>
  </si>
  <si>
    <t>.</t>
  </si>
  <si>
    <t>last year</t>
  </si>
  <si>
    <t>Well designed and maintained furrows: compliments an evenly graded field as the basis for maximizing the returns on your irrigation management.</t>
  </si>
  <si>
    <t>Depth of hardpan?</t>
  </si>
  <si>
    <t>before last year</t>
  </si>
  <si>
    <t>Optimal mature root depth</t>
  </si>
  <si>
    <t>ref: USDA</t>
  </si>
  <si>
    <t>Poor DU (&lt;50%) could be a result of trying to irrigate too many furrows. Recommendation: try sharing water with neighbors or irrigating less rows.</t>
  </si>
  <si>
    <t>yes</t>
  </si>
  <si>
    <t>grain</t>
  </si>
  <si>
    <t>Poor DU (&lt;50%) could be a result of too much flow. Recommendation: try cutting back water after advancing.</t>
  </si>
  <si>
    <t>Field grade</t>
  </si>
  <si>
    <t>Field topography, furrow pattern, and furrow maintenance are the three physical factors that influence irrigation uniformity and efficiency the most. A level field (consistent grade) with a consistent furrow pattern that is remarked every year is the best "canvas" for an irrigator to "paint" on.</t>
  </si>
  <si>
    <t>no</t>
  </si>
  <si>
    <t>silage</t>
  </si>
  <si>
    <t>Poor DU (&lt;50%) could be a result of irrigating wheel and non-wheel rows the same. Recommendation: Irrigate separately with different flows.</t>
  </si>
  <si>
    <t>Furrows marked per pass?</t>
  </si>
  <si>
    <t>Poor DU (&lt;50%). It is unclear why DU is low. Consult with auditor.</t>
  </si>
  <si>
    <t>Last time furrows marked?</t>
  </si>
  <si>
    <t>winter</t>
  </si>
  <si>
    <t>DU Okay (&gt;50%) - to improve DU, pay attention to advance time, flows after advance and furrow types.</t>
  </si>
  <si>
    <t>spring</t>
  </si>
  <si>
    <t>Seasonal Irrigation Efficiency is sub-optimum. More than 75% of the water applied to the field is not being absorbed by the crop.</t>
  </si>
  <si>
    <t>Water</t>
  </si>
  <si>
    <t>Furrow DU</t>
  </si>
  <si>
    <t xml:space="preserve">DU = Distribution Uniformity and is a measure of how consistent irrigation is across the irrigation zone. The amount of water absorbed per furrow is the metric used for DU in this calculation. DU can be measured many ways with furrow systems so should be a guide only. Typically below 50% is seen as problematic, 50-60% is fair, and above 60% is good. </t>
  </si>
  <si>
    <t>cover</t>
  </si>
  <si>
    <t>Seasonal Irrigation Efficiency could be improved. More than 65% of the water applied to the field is not being absorbed by the crop.</t>
  </si>
  <si>
    <t>Set time</t>
  </si>
  <si>
    <t>CIG Fruita</t>
  </si>
  <si>
    <t>Days</t>
  </si>
  <si>
    <t>Weeks</t>
  </si>
  <si>
    <t>Precip Eff</t>
  </si>
  <si>
    <t>CU</t>
  </si>
  <si>
    <t>Irrig</t>
  </si>
  <si>
    <t>no cover</t>
  </si>
  <si>
    <t>Seasonal Irrigation Efficiency is good. Continue to monitor soil moisture and local ET values to enhance your irrigation management.</t>
  </si>
  <si>
    <t>Time to advance?</t>
  </si>
  <si>
    <t>grass</t>
  </si>
  <si>
    <t>Irrigation water applied is not even matching crop demand!</t>
  </si>
  <si>
    <t>Reduce flows post-advance?</t>
  </si>
  <si>
    <t>alfalfa</t>
  </si>
  <si>
    <t>Crop is also showing signs of stress</t>
  </si>
  <si>
    <t>which might be due to lack of or surplus water to the crop, or salinity issues</t>
  </si>
  <si>
    <t>Separate Irrig for wheel rows?</t>
  </si>
  <si>
    <t>corn (grain)</t>
  </si>
  <si>
    <t>Corn?</t>
  </si>
  <si>
    <t>which are probably due to over-irrigation which can lead to drowning the crop.</t>
  </si>
  <si>
    <t>corn (silage)</t>
  </si>
  <si>
    <t>Recommendation: Efficiency is function of many variables. Discuss irrigation scheduling and set programming with auditor.</t>
  </si>
  <si>
    <t>winter grain</t>
  </si>
  <si>
    <t>Small Grains?</t>
  </si>
  <si>
    <r>
      <t>Eff</t>
    </r>
    <r>
      <rPr>
        <b/>
        <i/>
        <vertAlign val="subscript"/>
        <sz val="10"/>
        <rFont val="Arial"/>
        <family val="2"/>
      </rPr>
      <t>seas</t>
    </r>
  </si>
  <si>
    <t>Irrigation frequency?</t>
  </si>
  <si>
    <r>
      <t xml:space="preserve">Even with optimum field conditions, astute irrigation scheudling is paramount to maximizing returns on your investment. Scheduling should be based on what moisture the root zone soil can hold and how rapidly it is being depleted by crop consumption, evaporation and percolation. Monitoring soil moisture is key to maximizing water use by the crop - known as  EvapoTranspiration (ET) or Consumptive UIse (CU) - and optimizing yield. Crop water use information is available online at  </t>
    </r>
    <r>
      <rPr>
        <u/>
        <sz val="8"/>
        <color indexed="48"/>
        <rFont val="Arial"/>
        <family val="2"/>
      </rPr>
      <t>www.coagmet.com</t>
    </r>
    <r>
      <rPr>
        <sz val="8"/>
        <color indexed="23"/>
        <rFont val="Arial"/>
      </rPr>
      <t xml:space="preserve">   (daily) and from the Colorado Irrigation Guide, 1988 (seasonal averages). Furrow irrigation typically has a seasonal efficiency of &lt;50%; i.e less than 50% of water applied is used by the crop. A seasonal efficiency of less than 25% is considered poor.</t>
    </r>
  </si>
  <si>
    <t>spring grain</t>
  </si>
  <si>
    <t>Season Length?</t>
  </si>
  <si>
    <t>days</t>
  </si>
  <si>
    <t>dry beans</t>
  </si>
  <si>
    <t>Evidence of crop stress?</t>
  </si>
  <si>
    <t>explore cutting back on irrigation flows before/after water advances - one or both may be too high.</t>
  </si>
  <si>
    <t>Number of irrigations</t>
  </si>
  <si>
    <t>/seas</t>
  </si>
  <si>
    <t>orchard (cover)</t>
  </si>
  <si>
    <t>Orchard?</t>
  </si>
  <si>
    <t>explore irrigating wheel rows with a separate regime to non-wheel rows</t>
  </si>
  <si>
    <t>Approx Water Applied</t>
  </si>
  <si>
    <t>in.</t>
  </si>
  <si>
    <t>orchard (no cover)</t>
  </si>
  <si>
    <t>Healthy ET</t>
  </si>
  <si>
    <t>vegetables</t>
  </si>
  <si>
    <t>Seasonal Efficiency</t>
  </si>
  <si>
    <t>SMALL ACREAGE AUDIT REPORT - FURROW</t>
  </si>
  <si>
    <t>RESULTS</t>
  </si>
  <si>
    <t>ANALYSIS</t>
  </si>
  <si>
    <t>General</t>
  </si>
  <si>
    <t>Date:</t>
  </si>
  <si>
    <t>General Comments</t>
  </si>
  <si>
    <t>Location:</t>
  </si>
  <si>
    <t>Auditor:</t>
  </si>
  <si>
    <t>Acres:</t>
  </si>
  <si>
    <t>Specific Comments</t>
  </si>
  <si>
    <t>Soil Type:</t>
  </si>
  <si>
    <t>Soil IR:</t>
  </si>
  <si>
    <t>Crop:</t>
  </si>
  <si>
    <t>Audit</t>
  </si>
  <si>
    <t>System</t>
  </si>
  <si>
    <t>DU:</t>
  </si>
  <si>
    <t>Snap Eff:</t>
  </si>
  <si>
    <t>Seas Eff:</t>
  </si>
  <si>
    <t>Irrigation</t>
  </si>
  <si>
    <t>Set applic:</t>
  </si>
  <si>
    <t>inches</t>
  </si>
  <si>
    <t>Set length</t>
  </si>
  <si>
    <t>hours</t>
  </si>
  <si>
    <t>Set CU:</t>
  </si>
  <si>
    <t>Un-needed:</t>
  </si>
  <si>
    <t>CSU Extension Water Resources: Western Region: 970-242-8683.</t>
  </si>
  <si>
    <t>Colorado State University, U.S. Department of Agriculture and Colorado counties cooperating.</t>
  </si>
  <si>
    <t xml:space="preserve"> Extension programs are available to all without discrimination.</t>
  </si>
  <si>
    <t>sq-ft per acre</t>
  </si>
  <si>
    <t>gal per cu-ft</t>
  </si>
  <si>
    <t>gal per ac-ft</t>
  </si>
  <si>
    <t>gpm per cfs</t>
  </si>
  <si>
    <t>gal per ac-in</t>
  </si>
  <si>
    <t>IN gpm</t>
  </si>
  <si>
    <t>OUT gpm</t>
  </si>
  <si>
    <t>Top-Flume</t>
  </si>
  <si>
    <t>TOTAL</t>
  </si>
  <si>
    <t>gpm Discrepancy</t>
  </si>
  <si>
    <t>Back off</t>
  </si>
  <si>
    <t>% after advance</t>
  </si>
  <si>
    <t>RD</t>
  </si>
  <si>
    <t>v4.0</t>
  </si>
  <si>
    <t>3. Subset (low quart of surviving values)</t>
  </si>
  <si>
    <t>furrow density</t>
  </si>
  <si>
    <r>
      <rPr>
        <b/>
        <sz val="11"/>
        <color theme="1"/>
        <rFont val="Arial"/>
        <family val="2"/>
      </rPr>
      <t xml:space="preserve">Disclaimer: </t>
    </r>
    <r>
      <rPr>
        <sz val="11"/>
        <color theme="1"/>
        <rFont val="Arial"/>
        <family val="2"/>
      </rPr>
      <t xml:space="preserve">All Results are estimates based on generalized crop, soil, and water data sources. </t>
    </r>
    <r>
      <rPr>
        <b/>
        <sz val="11"/>
        <color theme="1"/>
        <rFont val="Arial"/>
        <family val="2"/>
      </rPr>
      <t>Check your equipment regularly!</t>
    </r>
  </si>
  <si>
    <r>
      <t>Sub-optimum infiltration</t>
    </r>
    <r>
      <rPr>
        <b/>
        <sz val="10"/>
        <color indexed="53"/>
        <rFont val="Arial"/>
        <family val="2"/>
      </rPr>
      <t>:</t>
    </r>
    <r>
      <rPr>
        <b/>
        <sz val="10"/>
        <rFont val="Arial"/>
        <family val="2"/>
      </rPr>
      <t xml:space="preserve"> </t>
    </r>
    <r>
      <rPr>
        <sz val="10"/>
        <rFont val="Arial"/>
        <family val="2"/>
      </rPr>
      <t xml:space="preserve">means there is a risk that the majority of water is running off the field and minimal water is contributing to crop growth. Symptoms of sub-optimal infiltration are ponding and localized flooding problems, mosquito outbreaks, soil erosion, fertilizer loss, and reduced yields. Recomendations: 1. reduce compaction by following the same wheel ruts; 2. maintain plant matter or use cover crops; 3. add organic matter which can be done by reducing tillage operations (which also reduces trips accross the field). </t>
    </r>
    <r>
      <rPr>
        <b/>
        <sz val="10"/>
        <rFont val="Arial"/>
        <family val="2"/>
      </rPr>
      <t>Important</t>
    </r>
    <r>
      <rPr>
        <sz val="10"/>
        <rFont val="Arial"/>
        <family val="2"/>
      </rPr>
      <t>: clay soils will crack as they dry. When water contacts with a cracked clay soil infiltation will be rapid, decreasing as the soil swells. The IR number calculated here does not account for this phenomenon.</t>
    </r>
  </si>
</sst>
</file>

<file path=xl/styles.xml><?xml version="1.0" encoding="utf-8"?>
<styleSheet xmlns="http://schemas.openxmlformats.org/spreadsheetml/2006/main">
  <numFmts count="4">
    <numFmt numFmtId="8" formatCode="&quot;$&quot;#,##0.00_);[Red]\(&quot;$&quot;#,##0.00\)"/>
    <numFmt numFmtId="164" formatCode="0.0"/>
    <numFmt numFmtId="165" formatCode="0.0%"/>
    <numFmt numFmtId="166" formatCode="&quot;$&quot;#,##0.00"/>
  </numFmts>
  <fonts count="52">
    <font>
      <sz val="11"/>
      <color theme="1"/>
      <name val="Calibri"/>
      <family val="2"/>
      <scheme val="minor"/>
    </font>
    <font>
      <b/>
      <sz val="11"/>
      <color theme="1"/>
      <name val="Calibri"/>
      <family val="2"/>
      <scheme val="minor"/>
    </font>
    <font>
      <b/>
      <sz val="10"/>
      <name val="Arial"/>
      <family val="2"/>
    </font>
    <font>
      <sz val="12"/>
      <name val="Arial"/>
      <family val="2"/>
    </font>
    <font>
      <sz val="10"/>
      <name val="Arial"/>
      <family val="2"/>
    </font>
    <font>
      <i/>
      <sz val="9"/>
      <name val="Arial"/>
      <family val="2"/>
    </font>
    <font>
      <b/>
      <i/>
      <sz val="10"/>
      <name val="Arial"/>
      <family val="2"/>
    </font>
    <font>
      <b/>
      <sz val="12"/>
      <name val="Arial"/>
      <family val="2"/>
    </font>
    <font>
      <i/>
      <sz val="10"/>
      <color indexed="9"/>
      <name val="Arial"/>
      <family val="2"/>
    </font>
    <font>
      <sz val="10"/>
      <name val="Arial"/>
    </font>
    <font>
      <sz val="10"/>
      <color indexed="12"/>
      <name val="Arial"/>
    </font>
    <font>
      <sz val="8"/>
      <name val="Arial"/>
    </font>
    <font>
      <b/>
      <sz val="10"/>
      <color indexed="52"/>
      <name val="Arial"/>
      <family val="2"/>
    </font>
    <font>
      <sz val="8"/>
      <color rgb="FF0000FF"/>
      <name val="Arial"/>
      <family val="2"/>
    </font>
    <font>
      <sz val="8"/>
      <name val="Arial"/>
      <family val="2"/>
    </font>
    <font>
      <i/>
      <sz val="10"/>
      <color theme="0"/>
      <name val="Arial"/>
      <family val="2"/>
    </font>
    <font>
      <sz val="10"/>
      <color rgb="FF0000FF"/>
      <name val="Arial"/>
      <family val="2"/>
    </font>
    <font>
      <b/>
      <sz val="10"/>
      <color indexed="53"/>
      <name val="Arial"/>
      <family val="2"/>
    </font>
    <font>
      <sz val="10"/>
      <color indexed="8"/>
      <name val="Arial"/>
      <family val="2"/>
    </font>
    <font>
      <sz val="10"/>
      <color indexed="9"/>
      <name val="Arial"/>
    </font>
    <font>
      <sz val="8"/>
      <color indexed="12"/>
      <name val="Arial"/>
    </font>
    <font>
      <b/>
      <sz val="10"/>
      <color indexed="8"/>
      <name val="Arial"/>
      <family val="2"/>
    </font>
    <font>
      <i/>
      <sz val="10"/>
      <color indexed="8"/>
      <name val="Arial"/>
      <family val="2"/>
    </font>
    <font>
      <b/>
      <sz val="10"/>
      <color indexed="9"/>
      <name val="Arial"/>
      <family val="2"/>
    </font>
    <font>
      <u/>
      <sz val="10"/>
      <color indexed="12"/>
      <name val="Arial"/>
    </font>
    <font>
      <sz val="9"/>
      <color indexed="8"/>
      <name val="Arial"/>
      <family val="2"/>
    </font>
    <font>
      <b/>
      <sz val="10"/>
      <color indexed="10"/>
      <name val="Arial"/>
      <family val="2"/>
    </font>
    <font>
      <sz val="10"/>
      <color rgb="FF0070C0"/>
      <name val="Arial"/>
      <family val="2"/>
    </font>
    <font>
      <b/>
      <sz val="10"/>
      <color indexed="22"/>
      <name val="Arial"/>
      <family val="2"/>
    </font>
    <font>
      <sz val="10"/>
      <color indexed="22"/>
      <name val="Arial"/>
      <family val="2"/>
    </font>
    <font>
      <sz val="10"/>
      <color indexed="17"/>
      <name val="Arial"/>
    </font>
    <font>
      <sz val="10"/>
      <color indexed="23"/>
      <name val="Arial"/>
      <family val="2"/>
    </font>
    <font>
      <b/>
      <sz val="13.8"/>
      <color rgb="FF000000"/>
      <name val="Arial"/>
      <family val="2"/>
    </font>
    <font>
      <sz val="8"/>
      <color indexed="23"/>
      <name val="Arial"/>
      <family val="2"/>
    </font>
    <font>
      <sz val="10"/>
      <color indexed="53"/>
      <name val="Arial"/>
      <family val="2"/>
    </font>
    <font>
      <b/>
      <i/>
      <vertAlign val="subscript"/>
      <sz val="10"/>
      <name val="Arial"/>
      <family val="2"/>
    </font>
    <font>
      <sz val="8"/>
      <color indexed="23"/>
      <name val="Arial"/>
    </font>
    <font>
      <u/>
      <sz val="8"/>
      <color indexed="48"/>
      <name val="Arial"/>
      <family val="2"/>
    </font>
    <font>
      <sz val="10"/>
      <color indexed="23"/>
      <name val="Arial"/>
    </font>
    <font>
      <b/>
      <sz val="20"/>
      <name val="Kartika"/>
      <family val="1"/>
    </font>
    <font>
      <i/>
      <sz val="10"/>
      <name val="Arial"/>
      <family val="2"/>
    </font>
    <font>
      <sz val="10"/>
      <color indexed="12"/>
      <name val="Goudy Old Style"/>
      <family val="1"/>
    </font>
    <font>
      <sz val="10"/>
      <name val="Goudy Old Style"/>
      <family val="1"/>
    </font>
    <font>
      <sz val="9"/>
      <name val="Goudy Old Style"/>
      <family val="1"/>
    </font>
    <font>
      <sz val="10"/>
      <color theme="0"/>
      <name val="Arial"/>
      <family val="2"/>
    </font>
    <font>
      <sz val="11"/>
      <name val="Calibri"/>
      <family val="2"/>
      <scheme val="minor"/>
    </font>
    <font>
      <sz val="11"/>
      <color rgb="FF00B050"/>
      <name val="Calibri"/>
      <family val="2"/>
      <scheme val="minor"/>
    </font>
    <font>
      <sz val="11"/>
      <color rgb="FF0000FF"/>
      <name val="Calibri"/>
      <family val="2"/>
      <scheme val="minor"/>
    </font>
    <font>
      <b/>
      <sz val="10"/>
      <color theme="1" tint="0.34998626667073579"/>
      <name val="Arial"/>
      <family val="2"/>
    </font>
    <font>
      <sz val="10"/>
      <color theme="1" tint="0.34998626667073579"/>
      <name val="Arial"/>
      <family val="2"/>
    </font>
    <font>
      <sz val="11"/>
      <color theme="1"/>
      <name val="Arial"/>
      <family val="2"/>
    </font>
    <font>
      <b/>
      <sz val="11"/>
      <color theme="1"/>
      <name val="Arial"/>
      <family val="2"/>
    </font>
  </fonts>
  <fills count="17">
    <fill>
      <patternFill patternType="none"/>
    </fill>
    <fill>
      <patternFill patternType="gray125"/>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indexed="21"/>
        <bgColor indexed="64"/>
      </patternFill>
    </fill>
    <fill>
      <patternFill patternType="solid">
        <fgColor rgb="FFFFFFCC"/>
        <bgColor indexed="64"/>
      </patternFill>
    </fill>
    <fill>
      <patternFill patternType="solid">
        <fgColor indexed="9"/>
        <bgColor indexed="64"/>
      </patternFill>
    </fill>
    <fill>
      <patternFill patternType="solid">
        <fgColor indexed="53"/>
        <bgColor indexed="64"/>
      </patternFill>
    </fill>
    <fill>
      <patternFill patternType="solid">
        <fgColor rgb="FFCCCCFF"/>
        <bgColor indexed="64"/>
      </patternFill>
    </fill>
    <fill>
      <patternFill patternType="solid">
        <fgColor rgb="FFCCFFFF"/>
        <bgColor indexed="64"/>
      </patternFill>
    </fill>
    <fill>
      <patternFill patternType="solid">
        <fgColor theme="9" tint="0.39994506668294322"/>
        <bgColor indexed="64"/>
      </patternFill>
    </fill>
  </fills>
  <borders count="6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double">
        <color indexed="64"/>
      </left>
      <right/>
      <top/>
      <bottom/>
      <diagonal/>
    </border>
    <border>
      <left/>
      <right style="double">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4" fillId="0" borderId="0" applyNumberFormat="0" applyFill="0" applyBorder="0" applyAlignment="0" applyProtection="0">
      <alignment vertical="top"/>
      <protection locked="0"/>
    </xf>
  </cellStyleXfs>
  <cellXfs count="395">
    <xf numFmtId="0" fontId="0" fillId="0" borderId="0" xfId="0"/>
    <xf numFmtId="0" fontId="2" fillId="0" borderId="1" xfId="0" applyFont="1" applyBorder="1"/>
    <xf numFmtId="0" fontId="3" fillId="0" borderId="2" xfId="0" applyFont="1" applyBorder="1"/>
    <xf numFmtId="0" fontId="4" fillId="0" borderId="3" xfId="0" applyFont="1" applyBorder="1"/>
    <xf numFmtId="0" fontId="0" fillId="0" borderId="4" xfId="0" applyBorder="1"/>
    <xf numFmtId="0" fontId="2" fillId="0" borderId="5" xfId="0" applyFont="1" applyBorder="1" applyAlignment="1">
      <alignment horizontal="right"/>
    </xf>
    <xf numFmtId="0" fontId="5" fillId="2" borderId="6" xfId="0" applyFont="1" applyFill="1" applyBorder="1"/>
    <xf numFmtId="0" fontId="5" fillId="2" borderId="7" xfId="0" applyFont="1" applyFill="1" applyBorder="1"/>
    <xf numFmtId="0" fontId="6" fillId="0" borderId="0" xfId="0" applyFont="1"/>
    <xf numFmtId="0" fontId="4" fillId="0" borderId="0" xfId="0" applyFont="1"/>
    <xf numFmtId="0" fontId="2" fillId="0" borderId="8" xfId="0" applyFont="1" applyBorder="1"/>
    <xf numFmtId="0" fontId="3" fillId="0" borderId="9" xfId="0" applyFont="1" applyBorder="1"/>
    <xf numFmtId="0" fontId="7" fillId="0" borderId="9" xfId="0" applyFont="1" applyBorder="1"/>
    <xf numFmtId="0" fontId="0" fillId="0" borderId="10" xfId="0" applyBorder="1"/>
    <xf numFmtId="0" fontId="7" fillId="0" borderId="0" xfId="0" applyFont="1" applyBorder="1"/>
    <xf numFmtId="0" fontId="3" fillId="0" borderId="0" xfId="0" applyFont="1" applyBorder="1"/>
    <xf numFmtId="0" fontId="0" fillId="0" borderId="0" xfId="0" applyBorder="1"/>
    <xf numFmtId="0" fontId="8" fillId="3" borderId="0" xfId="0" applyFont="1" applyFill="1"/>
    <xf numFmtId="0" fontId="0" fillId="3" borderId="0" xfId="0" applyFill="1"/>
    <xf numFmtId="0" fontId="8" fillId="4" borderId="0" xfId="0" applyFont="1" applyFill="1"/>
    <xf numFmtId="0" fontId="0" fillId="4" borderId="0" xfId="0" applyFill="1"/>
    <xf numFmtId="0" fontId="8" fillId="5" borderId="0" xfId="0" applyFont="1" applyFill="1"/>
    <xf numFmtId="8" fontId="0" fillId="0" borderId="0" xfId="0" applyNumberFormat="1"/>
    <xf numFmtId="0" fontId="0" fillId="0" borderId="7" xfId="0" applyBorder="1"/>
    <xf numFmtId="0" fontId="10" fillId="7" borderId="5" xfId="0" applyFont="1" applyFill="1" applyBorder="1" applyProtection="1">
      <protection locked="0"/>
    </xf>
    <xf numFmtId="0" fontId="0" fillId="0" borderId="0" xfId="0" applyAlignment="1">
      <alignment horizontal="right"/>
    </xf>
    <xf numFmtId="0" fontId="10" fillId="8" borderId="0" xfId="0" applyFont="1" applyFill="1" applyProtection="1">
      <protection locked="0"/>
    </xf>
    <xf numFmtId="164" fontId="0" fillId="9" borderId="0" xfId="0" applyNumberFormat="1" applyFill="1"/>
    <xf numFmtId="0" fontId="0" fillId="9" borderId="0" xfId="0" applyFill="1"/>
    <xf numFmtId="0" fontId="10" fillId="6" borderId="11" xfId="0" applyFont="1" applyFill="1" applyBorder="1" applyAlignment="1" applyProtection="1">
      <alignment horizontal="right"/>
      <protection locked="0"/>
    </xf>
    <xf numFmtId="0" fontId="0" fillId="6" borderId="12" xfId="0" applyFill="1" applyBorder="1" applyProtection="1">
      <protection locked="0"/>
    </xf>
    <xf numFmtId="0" fontId="11" fillId="0" borderId="13" xfId="0" applyFont="1" applyFill="1" applyBorder="1"/>
    <xf numFmtId="0" fontId="0" fillId="0" borderId="0" xfId="0" quotePrefix="1" applyAlignment="1">
      <alignment horizontal="center"/>
    </xf>
    <xf numFmtId="0" fontId="10" fillId="7" borderId="11" xfId="0" applyFont="1" applyFill="1" applyBorder="1" applyProtection="1">
      <protection locked="0"/>
    </xf>
    <xf numFmtId="0" fontId="10" fillId="6" borderId="14" xfId="0" applyFont="1" applyFill="1" applyBorder="1" applyAlignment="1" applyProtection="1">
      <alignment horizontal="right"/>
      <protection locked="0"/>
    </xf>
    <xf numFmtId="0" fontId="0" fillId="6" borderId="0" xfId="0" applyFill="1" applyBorder="1" applyProtection="1">
      <protection locked="0"/>
    </xf>
    <xf numFmtId="0" fontId="0" fillId="0" borderId="15" xfId="0" applyFill="1" applyBorder="1"/>
    <xf numFmtId="0" fontId="10" fillId="7" borderId="14" xfId="0" applyFont="1" applyFill="1" applyBorder="1" applyProtection="1">
      <protection locked="0"/>
    </xf>
    <xf numFmtId="0" fontId="9" fillId="6" borderId="14" xfId="0" applyFont="1" applyFill="1" applyBorder="1" applyAlignment="1" applyProtection="1">
      <alignment horizontal="right"/>
      <protection locked="0"/>
    </xf>
    <xf numFmtId="0" fontId="0" fillId="0" borderId="0" xfId="0" applyFill="1" applyBorder="1"/>
    <xf numFmtId="0" fontId="10" fillId="0" borderId="0" xfId="0" applyFont="1" applyProtection="1">
      <protection locked="0"/>
    </xf>
    <xf numFmtId="0" fontId="10" fillId="6" borderId="14" xfId="0" applyFont="1" applyFill="1" applyBorder="1" applyProtection="1">
      <protection locked="0"/>
    </xf>
    <xf numFmtId="0" fontId="10" fillId="0" borderId="0" xfId="0" applyFont="1"/>
    <xf numFmtId="0" fontId="10" fillId="7" borderId="16" xfId="0" applyFont="1" applyFill="1" applyBorder="1" applyProtection="1">
      <protection locked="0"/>
    </xf>
    <xf numFmtId="0" fontId="0" fillId="0" borderId="17" xfId="0" applyFill="1" applyBorder="1"/>
    <xf numFmtId="0" fontId="12" fillId="0" borderId="0" xfId="0" applyFont="1"/>
    <xf numFmtId="0" fontId="2" fillId="0" borderId="16" xfId="0" applyFont="1" applyBorder="1"/>
    <xf numFmtId="0" fontId="0" fillId="0" borderId="18" xfId="0" applyBorder="1"/>
    <xf numFmtId="0" fontId="0" fillId="0" borderId="17" xfId="0" applyBorder="1"/>
    <xf numFmtId="0" fontId="2" fillId="10" borderId="0" xfId="0" applyFont="1" applyFill="1" applyAlignment="1">
      <alignment horizontal="right"/>
    </xf>
    <xf numFmtId="0" fontId="2" fillId="10" borderId="0" xfId="0" applyFont="1" applyFill="1" applyAlignment="1">
      <alignment horizontal="center"/>
    </xf>
    <xf numFmtId="0" fontId="2" fillId="0" borderId="0" xfId="0" applyFont="1" applyBorder="1"/>
    <xf numFmtId="0" fontId="0" fillId="0" borderId="0" xfId="0" applyFill="1"/>
    <xf numFmtId="0" fontId="4" fillId="0" borderId="0" xfId="0" applyFont="1" applyFill="1" applyBorder="1"/>
    <xf numFmtId="0" fontId="13" fillId="11" borderId="11" xfId="0" applyFont="1" applyFill="1" applyBorder="1" applyAlignment="1" applyProtection="1">
      <alignment horizontal="center"/>
      <protection locked="0"/>
    </xf>
    <xf numFmtId="0" fontId="14" fillId="0" borderId="12" xfId="0" applyFont="1" applyBorder="1" applyAlignment="1">
      <alignment horizontal="right"/>
    </xf>
    <xf numFmtId="0" fontId="10" fillId="6" borderId="13" xfId="0" applyFont="1" applyFill="1" applyBorder="1"/>
    <xf numFmtId="0" fontId="2" fillId="0" borderId="0" xfId="0" quotePrefix="1" applyNumberFormat="1" applyFont="1"/>
    <xf numFmtId="0" fontId="0" fillId="0" borderId="11" xfId="0" applyNumberFormat="1" applyBorder="1" applyAlignment="1">
      <alignment horizontal="center"/>
    </xf>
    <xf numFmtId="0" fontId="0" fillId="0" borderId="12" xfId="0" applyNumberFormat="1" applyBorder="1" applyAlignment="1">
      <alignment horizontal="center"/>
    </xf>
    <xf numFmtId="0" fontId="0" fillId="0" borderId="13" xfId="0" applyBorder="1" applyAlignment="1">
      <alignment horizontal="center"/>
    </xf>
    <xf numFmtId="0" fontId="13" fillId="11" borderId="14" xfId="0" applyFont="1" applyFill="1" applyBorder="1" applyAlignment="1" applyProtection="1">
      <alignment horizontal="center"/>
      <protection locked="0"/>
    </xf>
    <xf numFmtId="0" fontId="14" fillId="0" borderId="0" xfId="0" applyFont="1" applyBorder="1" applyAlignment="1">
      <alignment horizontal="right"/>
    </xf>
    <xf numFmtId="0" fontId="10" fillId="6" borderId="15" xfId="0" applyFont="1" applyFill="1" applyBorder="1"/>
    <xf numFmtId="0" fontId="0" fillId="0" borderId="0" xfId="0" applyProtection="1">
      <protection locked="0"/>
    </xf>
    <xf numFmtId="0" fontId="2" fillId="0" borderId="0" xfId="0" applyNumberFormat="1" applyFont="1"/>
    <xf numFmtId="0" fontId="0" fillId="0" borderId="14" xfId="0" applyNumberFormat="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0" fontId="0" fillId="0" borderId="15" xfId="0" applyBorder="1" applyAlignment="1">
      <alignment horizontal="center"/>
    </xf>
    <xf numFmtId="0" fontId="13" fillId="11" borderId="16" xfId="0" applyFont="1" applyFill="1" applyBorder="1" applyAlignment="1" applyProtection="1">
      <alignment horizontal="center"/>
      <protection locked="0"/>
    </xf>
    <xf numFmtId="0" fontId="10" fillId="6" borderId="11" xfId="0" applyFont="1" applyFill="1" applyBorder="1" applyProtection="1">
      <protection locked="0"/>
    </xf>
    <xf numFmtId="0" fontId="10" fillId="6" borderId="12" xfId="0" applyFont="1" applyFill="1" applyBorder="1" applyProtection="1">
      <protection locked="0"/>
    </xf>
    <xf numFmtId="0" fontId="0" fillId="0" borderId="12" xfId="0" applyBorder="1"/>
    <xf numFmtId="0" fontId="0" fillId="0" borderId="13" xfId="0" applyBorder="1" applyAlignment="1">
      <alignment horizontal="right"/>
    </xf>
    <xf numFmtId="0" fontId="15" fillId="0" borderId="0" xfId="0" applyFont="1" applyFill="1" applyBorder="1" applyAlignment="1">
      <alignment horizontal="left"/>
    </xf>
    <xf numFmtId="0" fontId="16" fillId="6" borderId="14" xfId="0" applyFont="1" applyFill="1" applyBorder="1" applyProtection="1">
      <protection locked="0"/>
    </xf>
    <xf numFmtId="0" fontId="10" fillId="6" borderId="0" xfId="0" applyFont="1" applyFill="1" applyBorder="1" applyProtection="1">
      <protection locked="0"/>
    </xf>
    <xf numFmtId="0" fontId="4" fillId="0" borderId="0" xfId="0" applyFont="1" applyBorder="1"/>
    <xf numFmtId="0" fontId="0" fillId="0" borderId="15" xfId="0" applyBorder="1" applyAlignment="1">
      <alignment horizontal="right"/>
    </xf>
    <xf numFmtId="0" fontId="0" fillId="0" borderId="16" xfId="0" applyNumberFormat="1" applyBorder="1" applyAlignment="1">
      <alignment horizontal="center"/>
    </xf>
    <xf numFmtId="0" fontId="0" fillId="0" borderId="18" xfId="0" applyNumberFormat="1" applyBorder="1" applyAlignment="1">
      <alignment horizontal="center"/>
    </xf>
    <xf numFmtId="0" fontId="0" fillId="0" borderId="17" xfId="0" applyBorder="1" applyAlignment="1">
      <alignment horizontal="center"/>
    </xf>
    <xf numFmtId="0" fontId="0" fillId="0" borderId="15" xfId="0" applyBorder="1"/>
    <xf numFmtId="0" fontId="0" fillId="0" borderId="0" xfId="0" applyNumberFormat="1"/>
    <xf numFmtId="0" fontId="16" fillId="11" borderId="14" xfId="0" applyFont="1" applyFill="1" applyBorder="1" applyProtection="1">
      <protection locked="0"/>
    </xf>
    <xf numFmtId="0" fontId="16" fillId="0" borderId="0" xfId="0" applyFont="1" applyFill="1" applyBorder="1"/>
    <xf numFmtId="0" fontId="17" fillId="0" borderId="0" xfId="0" applyFont="1"/>
    <xf numFmtId="0" fontId="10" fillId="6" borderId="16" xfId="0" applyFont="1" applyFill="1" applyBorder="1" applyProtection="1">
      <protection locked="0"/>
    </xf>
    <xf numFmtId="0" fontId="0" fillId="12" borderId="0" xfId="0" applyFill="1"/>
    <xf numFmtId="0" fontId="18" fillId="12" borderId="0" xfId="0" applyFont="1" applyFill="1"/>
    <xf numFmtId="2" fontId="2" fillId="6" borderId="1" xfId="0" applyNumberFormat="1" applyFont="1" applyFill="1" applyBorder="1" applyAlignment="1">
      <alignment horizontal="right"/>
    </xf>
    <xf numFmtId="0" fontId="0" fillId="0" borderId="2" xfId="0" applyFill="1" applyBorder="1"/>
    <xf numFmtId="2" fontId="19" fillId="0" borderId="3" xfId="0" applyNumberFormat="1" applyFont="1" applyBorder="1"/>
    <xf numFmtId="0" fontId="21" fillId="10" borderId="20" xfId="0" applyFont="1" applyFill="1" applyBorder="1" applyAlignment="1">
      <alignment horizontal="center" wrapText="1"/>
    </xf>
    <xf numFmtId="0" fontId="21" fillId="10" borderId="21" xfId="0" applyFont="1" applyFill="1" applyBorder="1" applyAlignment="1">
      <alignment horizontal="center" wrapText="1"/>
    </xf>
    <xf numFmtId="0" fontId="22" fillId="0" borderId="0" xfId="0" applyFont="1" applyFill="1" applyBorder="1" applyAlignment="1">
      <alignment horizontal="left" wrapText="1"/>
    </xf>
    <xf numFmtId="2" fontId="2" fillId="6" borderId="22" xfId="0" applyNumberFormat="1" applyFont="1" applyFill="1" applyBorder="1" applyAlignment="1">
      <alignment horizontal="right"/>
    </xf>
    <xf numFmtId="0" fontId="0" fillId="0" borderId="23" xfId="0" applyBorder="1"/>
    <xf numFmtId="0" fontId="21" fillId="10" borderId="25" xfId="0" applyFont="1" applyFill="1" applyBorder="1" applyAlignment="1">
      <alignment horizontal="center" wrapText="1"/>
    </xf>
    <xf numFmtId="0" fontId="21" fillId="10" borderId="26" xfId="0" applyFont="1" applyFill="1" applyBorder="1" applyAlignment="1">
      <alignment horizontal="center" wrapText="1"/>
    </xf>
    <xf numFmtId="165" fontId="23" fillId="3" borderId="22" xfId="0" applyNumberFormat="1" applyFont="1" applyFill="1" applyBorder="1" applyAlignment="1">
      <alignment horizontal="right"/>
    </xf>
    <xf numFmtId="0" fontId="2" fillId="0" borderId="0" xfId="0" applyFont="1" applyFill="1" applyBorder="1" applyAlignment="1">
      <alignment horizontal="left"/>
    </xf>
    <xf numFmtId="165" fontId="23" fillId="3" borderId="0" xfId="0" applyNumberFormat="1" applyFont="1" applyFill="1" applyBorder="1"/>
    <xf numFmtId="0" fontId="2" fillId="0" borderId="23" xfId="0" applyFont="1" applyBorder="1"/>
    <xf numFmtId="0" fontId="21" fillId="0" borderId="27" xfId="0" applyFont="1" applyBorder="1" applyAlignment="1">
      <alignment wrapText="1"/>
    </xf>
    <xf numFmtId="0" fontId="18" fillId="0" borderId="28" xfId="0" applyFont="1" applyBorder="1" applyAlignment="1">
      <alignment horizontal="center" wrapText="1"/>
    </xf>
    <xf numFmtId="0" fontId="18" fillId="0" borderId="29" xfId="0" applyFont="1" applyBorder="1" applyAlignment="1">
      <alignment horizontal="center" wrapText="1"/>
    </xf>
    <xf numFmtId="0" fontId="2" fillId="0" borderId="0" xfId="0" applyFont="1" applyFill="1" applyBorder="1"/>
    <xf numFmtId="0" fontId="6" fillId="0" borderId="1" xfId="0" applyFont="1" applyBorder="1"/>
    <xf numFmtId="0" fontId="0" fillId="0" borderId="2" xfId="0" applyBorder="1"/>
    <xf numFmtId="0" fontId="0" fillId="0" borderId="3" xfId="0" applyBorder="1"/>
    <xf numFmtId="0" fontId="21" fillId="0" borderId="30" xfId="0" applyFont="1" applyBorder="1" applyAlignment="1">
      <alignment wrapText="1"/>
    </xf>
    <xf numFmtId="0" fontId="18" fillId="0" borderId="31" xfId="0" applyFont="1" applyBorder="1" applyAlignment="1">
      <alignment horizontal="center" wrapText="1"/>
    </xf>
    <xf numFmtId="0" fontId="18" fillId="0" borderId="32" xfId="0" applyFont="1" applyBorder="1" applyAlignment="1">
      <alignment horizontal="center" wrapText="1"/>
    </xf>
    <xf numFmtId="0" fontId="0" fillId="0" borderId="22" xfId="0" applyBorder="1"/>
    <xf numFmtId="0" fontId="0" fillId="6" borderId="0" xfId="0" applyFill="1" applyBorder="1"/>
    <xf numFmtId="0" fontId="0" fillId="0" borderId="8" xfId="0" applyBorder="1"/>
    <xf numFmtId="0" fontId="4" fillId="0" borderId="9" xfId="0" applyFont="1" applyBorder="1"/>
    <xf numFmtId="0" fontId="24" fillId="0" borderId="9" xfId="1" applyBorder="1" applyAlignment="1" applyProtection="1"/>
    <xf numFmtId="0" fontId="0" fillId="0" borderId="9" xfId="0" applyBorder="1"/>
    <xf numFmtId="166" fontId="0" fillId="0" borderId="0" xfId="0" applyNumberFormat="1" applyFill="1" applyBorder="1"/>
    <xf numFmtId="0" fontId="10" fillId="0" borderId="0" xfId="0" applyFont="1" applyFill="1" applyBorder="1"/>
    <xf numFmtId="0" fontId="0" fillId="12" borderId="14" xfId="0" applyFill="1" applyBorder="1"/>
    <xf numFmtId="0" fontId="0" fillId="0" borderId="0" xfId="0" applyFill="1" applyBorder="1" applyAlignment="1">
      <alignment horizontal="center"/>
    </xf>
    <xf numFmtId="0" fontId="9" fillId="0" borderId="0" xfId="0" applyFont="1" applyFill="1" applyBorder="1" applyAlignment="1">
      <alignment horizontal="center"/>
    </xf>
    <xf numFmtId="0" fontId="0" fillId="0" borderId="0" xfId="0" quotePrefix="1" applyFill="1" applyBorder="1" applyAlignment="1">
      <alignment horizontal="center"/>
    </xf>
    <xf numFmtId="0" fontId="0" fillId="0" borderId="14" xfId="0" applyBorder="1"/>
    <xf numFmtId="0" fontId="0" fillId="0" borderId="16" xfId="0" applyBorder="1"/>
    <xf numFmtId="9" fontId="0" fillId="0" borderId="0" xfId="0" applyNumberFormat="1"/>
    <xf numFmtId="0" fontId="18" fillId="0" borderId="0" xfId="0" applyFont="1"/>
    <xf numFmtId="0" fontId="25" fillId="12" borderId="0" xfId="0" applyFont="1" applyFill="1"/>
    <xf numFmtId="0" fontId="21" fillId="10" borderId="35" xfId="0" applyFont="1" applyFill="1" applyBorder="1" applyAlignment="1">
      <alignment horizontal="center" wrapText="1"/>
    </xf>
    <xf numFmtId="0" fontId="21" fillId="10" borderId="38" xfId="0" applyFont="1" applyFill="1" applyBorder="1" applyAlignment="1">
      <alignment horizontal="center" wrapText="1"/>
    </xf>
    <xf numFmtId="0" fontId="21" fillId="10" borderId="31" xfId="0" applyFont="1" applyFill="1" applyBorder="1" applyAlignment="1">
      <alignment horizontal="center" wrapText="1"/>
    </xf>
    <xf numFmtId="0" fontId="21" fillId="10" borderId="39" xfId="0" applyFont="1" applyFill="1" applyBorder="1" applyAlignment="1">
      <alignment horizontal="center" wrapText="1"/>
    </xf>
    <xf numFmtId="0" fontId="18" fillId="0" borderId="41" xfId="0" applyFont="1" applyBorder="1" applyAlignment="1">
      <alignment wrapText="1"/>
    </xf>
    <xf numFmtId="0" fontId="18" fillId="0" borderId="31" xfId="0" applyFont="1" applyBorder="1" applyAlignment="1">
      <alignment wrapText="1"/>
    </xf>
    <xf numFmtId="10" fontId="0" fillId="0" borderId="0" xfId="0" applyNumberFormat="1"/>
    <xf numFmtId="0" fontId="21" fillId="0" borderId="40" xfId="0" applyFont="1" applyBorder="1" applyAlignment="1">
      <alignment wrapText="1"/>
    </xf>
    <xf numFmtId="0" fontId="21" fillId="0" borderId="42" xfId="0" applyFont="1" applyBorder="1" applyAlignment="1"/>
    <xf numFmtId="0" fontId="21" fillId="0" borderId="42" xfId="0" applyFont="1" applyBorder="1" applyAlignment="1">
      <alignment wrapText="1"/>
    </xf>
    <xf numFmtId="0" fontId="0" fillId="0" borderId="43" xfId="0" applyBorder="1"/>
    <xf numFmtId="0" fontId="25" fillId="0" borderId="0" xfId="0" applyFont="1"/>
    <xf numFmtId="0" fontId="4" fillId="0" borderId="0" xfId="0" applyFont="1" applyAlignment="1">
      <alignment horizontal="right"/>
    </xf>
    <xf numFmtId="0" fontId="27" fillId="0" borderId="0" xfId="0" applyFont="1"/>
    <xf numFmtId="0" fontId="4" fillId="0" borderId="0" xfId="0" applyFont="1" applyAlignment="1">
      <alignment horizontal="center"/>
    </xf>
    <xf numFmtId="0" fontId="0" fillId="0" borderId="0" xfId="0" applyAlignment="1">
      <alignment horizontal="center"/>
    </xf>
    <xf numFmtId="2" fontId="28" fillId="4" borderId="0" xfId="0" applyNumberFormat="1" applyFont="1" applyFill="1" applyAlignment="1">
      <alignment horizontal="center"/>
    </xf>
    <xf numFmtId="2" fontId="29" fillId="4" borderId="0" xfId="0" applyNumberFormat="1" applyFont="1" applyFill="1" applyAlignment="1">
      <alignment horizontal="center"/>
    </xf>
    <xf numFmtId="2" fontId="0" fillId="0" borderId="0" xfId="0" applyNumberFormat="1" applyAlignment="1">
      <alignment horizontal="center"/>
    </xf>
    <xf numFmtId="0" fontId="0" fillId="0" borderId="11" xfId="0" applyBorder="1" applyAlignment="1">
      <alignment horizontal="right"/>
    </xf>
    <xf numFmtId="10" fontId="30" fillId="9" borderId="13" xfId="0" applyNumberFormat="1" applyFont="1" applyFill="1" applyBorder="1" applyAlignment="1">
      <alignment horizontal="center"/>
    </xf>
    <xf numFmtId="0" fontId="0" fillId="0" borderId="14" xfId="0" applyBorder="1" applyAlignment="1">
      <alignment horizontal="right"/>
    </xf>
    <xf numFmtId="0" fontId="29" fillId="4" borderId="0" xfId="0" applyFont="1" applyFill="1" applyAlignment="1">
      <alignment horizontal="center"/>
    </xf>
    <xf numFmtId="0" fontId="0" fillId="0" borderId="16" xfId="0" applyBorder="1" applyAlignment="1">
      <alignment horizontal="right"/>
    </xf>
    <xf numFmtId="165" fontId="29" fillId="4" borderId="0" xfId="0" applyNumberFormat="1" applyFont="1" applyFill="1" applyAlignment="1">
      <alignment horizontal="center"/>
    </xf>
    <xf numFmtId="0" fontId="6" fillId="0" borderId="0" xfId="0" applyFont="1" applyFill="1" applyBorder="1" applyAlignment="1">
      <alignment horizontal="right"/>
    </xf>
    <xf numFmtId="165" fontId="31" fillId="0" borderId="0" xfId="0" applyNumberFormat="1" applyFont="1" applyFill="1" applyBorder="1" applyAlignment="1">
      <alignment horizontal="center"/>
    </xf>
    <xf numFmtId="0" fontId="6" fillId="0" borderId="0" xfId="0" applyFont="1" applyAlignment="1">
      <alignment horizontal="right"/>
    </xf>
    <xf numFmtId="10" fontId="0" fillId="0" borderId="0" xfId="0" applyNumberFormat="1" applyFill="1" applyBorder="1"/>
    <xf numFmtId="2" fontId="10" fillId="0" borderId="0" xfId="0" applyNumberFormat="1" applyFont="1" applyFill="1" applyBorder="1"/>
    <xf numFmtId="0" fontId="26" fillId="0" borderId="0" xfId="0" applyFont="1" applyFill="1" applyBorder="1"/>
    <xf numFmtId="0" fontId="27" fillId="0" borderId="0" xfId="0" applyFont="1" applyProtection="1">
      <protection locked="0"/>
    </xf>
    <xf numFmtId="2" fontId="4" fillId="11" borderId="12" xfId="0" applyNumberFormat="1" applyFont="1" applyFill="1" applyBorder="1" applyAlignment="1">
      <alignment horizontal="center"/>
    </xf>
    <xf numFmtId="2" fontId="0" fillId="11" borderId="13" xfId="0" applyNumberFormat="1" applyFill="1" applyBorder="1" applyAlignment="1">
      <alignment horizontal="center"/>
    </xf>
    <xf numFmtId="2" fontId="4" fillId="11" borderId="0" xfId="0" applyNumberFormat="1" applyFont="1" applyFill="1" applyBorder="1" applyAlignment="1">
      <alignment horizontal="center"/>
    </xf>
    <xf numFmtId="2" fontId="0" fillId="11" borderId="15" xfId="0" applyNumberFormat="1" applyFill="1" applyBorder="1" applyAlignment="1">
      <alignment horizontal="center"/>
    </xf>
    <xf numFmtId="0" fontId="32" fillId="0" borderId="0" xfId="0" applyFont="1"/>
    <xf numFmtId="2" fontId="4" fillId="11" borderId="18" xfId="0" applyNumberFormat="1" applyFont="1" applyFill="1" applyBorder="1" applyAlignment="1">
      <alignment horizontal="center"/>
    </xf>
    <xf numFmtId="2" fontId="0" fillId="11" borderId="17" xfId="0" applyNumberFormat="1" applyFill="1" applyBorder="1" applyAlignment="1">
      <alignment horizontal="center"/>
    </xf>
    <xf numFmtId="0" fontId="24" fillId="0" borderId="0" xfId="1" applyAlignment="1" applyProtection="1"/>
    <xf numFmtId="0" fontId="0" fillId="0" borderId="11" xfId="0" applyBorder="1"/>
    <xf numFmtId="0" fontId="0" fillId="6" borderId="12" xfId="0" applyFill="1" applyBorder="1" applyAlignment="1">
      <alignment horizontal="right"/>
    </xf>
    <xf numFmtId="0" fontId="0" fillId="0" borderId="13" xfId="0" applyBorder="1"/>
    <xf numFmtId="0" fontId="2" fillId="0" borderId="0" xfId="0" applyFont="1"/>
    <xf numFmtId="0" fontId="26" fillId="0" borderId="0" xfId="0" applyNumberFormat="1" applyFont="1"/>
    <xf numFmtId="0" fontId="10" fillId="6" borderId="0" xfId="0" applyFont="1" applyFill="1" applyBorder="1" applyAlignment="1" applyProtection="1">
      <alignment horizontal="right"/>
      <protection locked="0"/>
    </xf>
    <xf numFmtId="0" fontId="0" fillId="6" borderId="0" xfId="0" applyFill="1" applyBorder="1" applyAlignment="1">
      <alignment horizontal="right"/>
    </xf>
    <xf numFmtId="0" fontId="18" fillId="0" borderId="49" xfId="0" applyFont="1" applyBorder="1" applyAlignment="1">
      <alignment wrapText="1"/>
    </xf>
    <xf numFmtId="0" fontId="0" fillId="0" borderId="49" xfId="0" applyBorder="1"/>
    <xf numFmtId="1" fontId="0" fillId="6" borderId="0" xfId="0" applyNumberFormat="1" applyFill="1" applyBorder="1" applyAlignment="1">
      <alignment horizontal="right"/>
    </xf>
    <xf numFmtId="2" fontId="0" fillId="6" borderId="0" xfId="0" applyNumberFormat="1" applyFill="1" applyBorder="1" applyAlignment="1">
      <alignment horizontal="right"/>
    </xf>
    <xf numFmtId="2" fontId="0" fillId="6" borderId="18" xfId="0" applyNumberFormat="1" applyFill="1" applyBorder="1" applyAlignment="1">
      <alignment horizontal="right"/>
    </xf>
    <xf numFmtId="0" fontId="0" fillId="13" borderId="49" xfId="0" applyFill="1" applyBorder="1"/>
    <xf numFmtId="0" fontId="18" fillId="0" borderId="42" xfId="0" applyFont="1" applyFill="1" applyBorder="1" applyAlignment="1">
      <alignment wrapText="1"/>
    </xf>
    <xf numFmtId="0" fontId="20" fillId="6" borderId="0" xfId="0" applyFont="1" applyFill="1" applyBorder="1" applyAlignment="1" applyProtection="1">
      <alignment horizontal="right"/>
      <protection locked="0"/>
    </xf>
    <xf numFmtId="0" fontId="10" fillId="6" borderId="18" xfId="0" applyFont="1" applyFill="1" applyBorder="1" applyAlignment="1" applyProtection="1">
      <alignment horizontal="right"/>
      <protection locked="0"/>
    </xf>
    <xf numFmtId="165" fontId="0" fillId="6" borderId="12" xfId="0" applyNumberFormat="1" applyFill="1" applyBorder="1" applyAlignment="1">
      <alignment horizontal="right"/>
    </xf>
    <xf numFmtId="0" fontId="21" fillId="0" borderId="0" xfId="0" applyFont="1" applyFill="1" applyBorder="1" applyAlignment="1">
      <alignment wrapText="1"/>
    </xf>
    <xf numFmtId="0" fontId="21" fillId="0" borderId="53" xfId="0" applyFont="1" applyBorder="1" applyAlignment="1">
      <alignment wrapText="1"/>
    </xf>
    <xf numFmtId="0" fontId="0" fillId="0" borderId="54" xfId="0" applyBorder="1"/>
    <xf numFmtId="164" fontId="0" fillId="0" borderId="54" xfId="0" applyNumberFormat="1" applyBorder="1"/>
    <xf numFmtId="0" fontId="0" fillId="0" borderId="55" xfId="0" applyBorder="1"/>
    <xf numFmtId="0" fontId="21" fillId="0" borderId="56" xfId="0" applyFont="1" applyBorder="1" applyAlignment="1">
      <alignment wrapText="1"/>
    </xf>
    <xf numFmtId="164" fontId="0" fillId="0" borderId="49" xfId="0" applyNumberFormat="1" applyBorder="1"/>
    <xf numFmtId="0" fontId="0" fillId="0" borderId="57" xfId="0" applyBorder="1"/>
    <xf numFmtId="0" fontId="10" fillId="0" borderId="0" xfId="0" applyFont="1" applyAlignment="1">
      <alignment horizontal="right"/>
    </xf>
    <xf numFmtId="0" fontId="0" fillId="0" borderId="49" xfId="0" applyFill="1" applyBorder="1"/>
    <xf numFmtId="0" fontId="21" fillId="0" borderId="56" xfId="0" applyFont="1" applyBorder="1" applyAlignment="1">
      <alignment horizontal="left" wrapText="1"/>
    </xf>
    <xf numFmtId="0" fontId="10" fillId="6" borderId="12" xfId="0" applyFont="1" applyFill="1" applyBorder="1" applyAlignment="1" applyProtection="1">
      <alignment horizontal="right"/>
      <protection locked="0"/>
    </xf>
    <xf numFmtId="2" fontId="0" fillId="6" borderId="0" xfId="0" applyNumberFormat="1" applyFill="1" applyBorder="1"/>
    <xf numFmtId="0" fontId="2" fillId="0" borderId="56" xfId="0" applyFont="1" applyBorder="1"/>
    <xf numFmtId="10" fontId="0" fillId="6" borderId="0" xfId="0" applyNumberFormat="1" applyFill="1" applyBorder="1" applyAlignment="1">
      <alignment horizontal="right"/>
    </xf>
    <xf numFmtId="0" fontId="2" fillId="0" borderId="58" xfId="0" applyFont="1" applyBorder="1"/>
    <xf numFmtId="0" fontId="0" fillId="0" borderId="59" xfId="0" applyBorder="1"/>
    <xf numFmtId="164" fontId="0" fillId="0" borderId="59" xfId="0" applyNumberFormat="1" applyBorder="1"/>
    <xf numFmtId="0" fontId="0" fillId="0" borderId="60" xfId="0" applyBorder="1"/>
    <xf numFmtId="0" fontId="39" fillId="0" borderId="0" xfId="0" applyFont="1"/>
    <xf numFmtId="0" fontId="40" fillId="0" borderId="0" xfId="0" applyFont="1"/>
    <xf numFmtId="14" fontId="41" fillId="5" borderId="12" xfId="0" applyNumberFormat="1" applyFont="1" applyFill="1" applyBorder="1" applyAlignment="1" applyProtection="1">
      <alignment horizontal="center"/>
      <protection locked="0"/>
    </xf>
    <xf numFmtId="0" fontId="10" fillId="0" borderId="13" xfId="0" applyFont="1" applyBorder="1"/>
    <xf numFmtId="0" fontId="6" fillId="0" borderId="11" xfId="0" applyFont="1" applyBorder="1"/>
    <xf numFmtId="0" fontId="41" fillId="5" borderId="0" xfId="0" applyFont="1" applyFill="1" applyBorder="1" applyAlignment="1" applyProtection="1">
      <alignment horizontal="center"/>
      <protection locked="0"/>
    </xf>
    <xf numFmtId="0" fontId="10" fillId="0" borderId="15" xfId="0" applyFont="1" applyBorder="1"/>
    <xf numFmtId="0" fontId="41" fillId="0" borderId="0" xfId="0" applyFont="1" applyFill="1" applyBorder="1" applyAlignment="1">
      <alignment vertical="top" wrapText="1"/>
    </xf>
    <xf numFmtId="0" fontId="0" fillId="0" borderId="63" xfId="0" applyBorder="1" applyAlignment="1">
      <alignment horizontal="right"/>
    </xf>
    <xf numFmtId="0" fontId="41" fillId="5" borderId="51" xfId="0" applyFont="1" applyFill="1" applyBorder="1" applyAlignment="1" applyProtection="1">
      <alignment horizontal="center"/>
      <protection locked="0"/>
    </xf>
    <xf numFmtId="0" fontId="10" fillId="0" borderId="64" xfId="0" applyFont="1" applyBorder="1"/>
    <xf numFmtId="0" fontId="0" fillId="3" borderId="14" xfId="0" applyFill="1" applyBorder="1" applyAlignment="1">
      <alignment horizontal="right"/>
    </xf>
    <xf numFmtId="0" fontId="41" fillId="3" borderId="0" xfId="0" applyFont="1" applyFill="1" applyBorder="1" applyAlignment="1">
      <alignment horizontal="center"/>
    </xf>
    <xf numFmtId="0" fontId="10" fillId="3" borderId="15" xfId="0" applyFont="1" applyFill="1" applyBorder="1"/>
    <xf numFmtId="0" fontId="42" fillId="3" borderId="0" xfId="0" applyFont="1" applyFill="1" applyBorder="1" applyAlignment="1">
      <alignment horizontal="center"/>
    </xf>
    <xf numFmtId="0" fontId="0" fillId="3" borderId="15" xfId="0" applyFill="1" applyBorder="1"/>
    <xf numFmtId="0" fontId="9" fillId="3" borderId="14" xfId="0" applyFont="1" applyFill="1" applyBorder="1" applyAlignment="1">
      <alignment vertical="top" wrapText="1"/>
    </xf>
    <xf numFmtId="0" fontId="9" fillId="3" borderId="0" xfId="0" applyFont="1" applyFill="1" applyBorder="1" applyAlignment="1">
      <alignment vertical="top" wrapText="1"/>
    </xf>
    <xf numFmtId="0" fontId="9" fillId="3" borderId="15" xfId="0" applyFont="1" applyFill="1" applyBorder="1" applyAlignment="1">
      <alignment vertical="top" wrapText="1"/>
    </xf>
    <xf numFmtId="0" fontId="9" fillId="0" borderId="0" xfId="0" applyFont="1" applyFill="1" applyBorder="1" applyAlignment="1">
      <alignment vertical="top" wrapText="1"/>
    </xf>
    <xf numFmtId="0" fontId="0" fillId="0" borderId="61" xfId="0" applyBorder="1" applyAlignment="1">
      <alignment horizontal="right"/>
    </xf>
    <xf numFmtId="2" fontId="42" fillId="5" borderId="45" xfId="0" applyNumberFormat="1" applyFont="1" applyFill="1" applyBorder="1" applyAlignment="1">
      <alignment horizontal="center"/>
    </xf>
    <xf numFmtId="2" fontId="0" fillId="0" borderId="62" xfId="0" applyNumberFormat="1" applyBorder="1"/>
    <xf numFmtId="0" fontId="6" fillId="0" borderId="14" xfId="0" applyFont="1" applyBorder="1"/>
    <xf numFmtId="0" fontId="42" fillId="5" borderId="0" xfId="0" applyFont="1" applyFill="1" applyBorder="1" applyAlignment="1">
      <alignment horizontal="center"/>
    </xf>
    <xf numFmtId="0" fontId="42" fillId="0" borderId="0" xfId="0" applyFont="1" applyFill="1" applyBorder="1" applyAlignment="1">
      <alignment vertical="top"/>
    </xf>
    <xf numFmtId="2" fontId="42" fillId="5" borderId="0" xfId="0" applyNumberFormat="1" applyFont="1" applyFill="1" applyBorder="1" applyAlignment="1">
      <alignment horizontal="center"/>
    </xf>
    <xf numFmtId="2" fontId="0" fillId="0" borderId="15" xfId="0" applyNumberFormat="1" applyBorder="1"/>
    <xf numFmtId="0" fontId="42" fillId="5" borderId="51" xfId="0" applyFont="1" applyFill="1" applyBorder="1" applyAlignment="1">
      <alignment horizontal="center"/>
    </xf>
    <xf numFmtId="0" fontId="0" fillId="0" borderId="64" xfId="0" applyBorder="1"/>
    <xf numFmtId="0" fontId="42" fillId="0" borderId="0" xfId="0" applyFont="1" applyFill="1" applyBorder="1" applyAlignment="1">
      <alignment vertical="top" wrapText="1"/>
    </xf>
    <xf numFmtId="1" fontId="42" fillId="5" borderId="45" xfId="0" applyNumberFormat="1" applyFont="1" applyFill="1" applyBorder="1" applyAlignment="1">
      <alignment horizontal="center"/>
    </xf>
    <xf numFmtId="0" fontId="0" fillId="0" borderId="62" xfId="0" applyBorder="1"/>
    <xf numFmtId="165" fontId="42" fillId="5" borderId="0" xfId="0" applyNumberFormat="1" applyFont="1" applyFill="1" applyBorder="1" applyAlignment="1">
      <alignment horizontal="center"/>
    </xf>
    <xf numFmtId="165" fontId="42" fillId="5" borderId="51" xfId="0" applyNumberFormat="1" applyFont="1" applyFill="1" applyBorder="1" applyAlignment="1">
      <alignment horizontal="center"/>
    </xf>
    <xf numFmtId="165" fontId="42" fillId="3" borderId="0" xfId="0" applyNumberFormat="1" applyFont="1" applyFill="1" applyBorder="1" applyAlignment="1">
      <alignment horizontal="center"/>
    </xf>
    <xf numFmtId="0" fontId="9" fillId="0" borderId="0" xfId="0" applyFont="1" applyFill="1" applyBorder="1"/>
    <xf numFmtId="0" fontId="0" fillId="5" borderId="17" xfId="0" applyFill="1" applyBorder="1"/>
    <xf numFmtId="0" fontId="43" fillId="0" borderId="0" xfId="0" applyFont="1" applyAlignment="1">
      <alignment horizontal="left"/>
    </xf>
    <xf numFmtId="2" fontId="45" fillId="11" borderId="15" xfId="0" applyNumberFormat="1" applyFont="1" applyFill="1" applyBorder="1" applyAlignment="1">
      <alignment horizontal="center"/>
    </xf>
    <xf numFmtId="164" fontId="10" fillId="11" borderId="11" xfId="0" applyNumberFormat="1" applyFont="1" applyFill="1" applyBorder="1" applyAlignment="1" applyProtection="1">
      <alignment horizontal="center"/>
      <protection locked="0"/>
    </xf>
    <xf numFmtId="164" fontId="10" fillId="11" borderId="12" xfId="0" applyNumberFormat="1" applyFont="1" applyFill="1" applyBorder="1" applyAlignment="1" applyProtection="1">
      <alignment horizontal="center"/>
      <protection locked="0"/>
    </xf>
    <xf numFmtId="164" fontId="10" fillId="11" borderId="13" xfId="0" applyNumberFormat="1" applyFont="1" applyFill="1" applyBorder="1" applyAlignment="1" applyProtection="1">
      <alignment horizontal="center"/>
      <protection locked="0"/>
    </xf>
    <xf numFmtId="164" fontId="0" fillId="0" borderId="0" xfId="0" applyNumberFormat="1" applyAlignment="1">
      <alignment horizontal="center"/>
    </xf>
    <xf numFmtId="164" fontId="10" fillId="11" borderId="14" xfId="0" applyNumberFormat="1" applyFont="1" applyFill="1" applyBorder="1" applyAlignment="1" applyProtection="1">
      <alignment horizontal="center"/>
      <protection locked="0"/>
    </xf>
    <xf numFmtId="164" fontId="10" fillId="11" borderId="0" xfId="0" applyNumberFormat="1" applyFont="1" applyFill="1" applyBorder="1" applyAlignment="1" applyProtection="1">
      <alignment horizontal="center"/>
      <protection locked="0"/>
    </xf>
    <xf numFmtId="164" fontId="10" fillId="11" borderId="15" xfId="0" applyNumberFormat="1" applyFont="1" applyFill="1" applyBorder="1" applyAlignment="1" applyProtection="1">
      <alignment horizontal="center"/>
      <protection locked="0"/>
    </xf>
    <xf numFmtId="164" fontId="10" fillId="11" borderId="16" xfId="0" applyNumberFormat="1" applyFont="1" applyFill="1" applyBorder="1" applyAlignment="1" applyProtection="1">
      <alignment horizontal="center"/>
      <protection locked="0"/>
    </xf>
    <xf numFmtId="164" fontId="10" fillId="11" borderId="18" xfId="0" applyNumberFormat="1" applyFont="1" applyFill="1" applyBorder="1" applyAlignment="1" applyProtection="1">
      <alignment horizontal="center"/>
      <protection locked="0"/>
    </xf>
    <xf numFmtId="164" fontId="10" fillId="11" borderId="17" xfId="0" applyNumberFormat="1" applyFont="1" applyFill="1" applyBorder="1" applyAlignment="1" applyProtection="1">
      <alignment horizontal="center"/>
      <protection locked="0"/>
    </xf>
    <xf numFmtId="164" fontId="44" fillId="4" borderId="0" xfId="0" applyNumberFormat="1" applyFont="1" applyFill="1" applyAlignment="1">
      <alignment horizontal="center"/>
    </xf>
    <xf numFmtId="0" fontId="0" fillId="0" borderId="0" xfId="0" applyBorder="1" applyAlignment="1">
      <alignment horizontal="left"/>
    </xf>
    <xf numFmtId="0" fontId="0" fillId="0" borderId="0" xfId="0" applyFill="1" applyAlignment="1">
      <alignment horizontal="right"/>
    </xf>
    <xf numFmtId="0" fontId="4" fillId="0" borderId="0" xfId="0" applyFont="1" applyFill="1" applyAlignment="1">
      <alignment horizontal="left"/>
    </xf>
    <xf numFmtId="2" fontId="0" fillId="0" borderId="0" xfId="0" applyNumberFormat="1" applyFill="1" applyAlignment="1">
      <alignment horizontal="right"/>
    </xf>
    <xf numFmtId="0" fontId="0" fillId="0" borderId="0" xfId="0" applyFont="1" applyFill="1" applyAlignment="1">
      <alignment horizontal="left"/>
    </xf>
    <xf numFmtId="0" fontId="4" fillId="0" borderId="0" xfId="0" applyFont="1" applyFill="1"/>
    <xf numFmtId="2" fontId="0" fillId="0" borderId="11" xfId="0" applyNumberFormat="1"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xf numFmtId="2" fontId="0" fillId="0" borderId="0" xfId="0" applyNumberForma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2" fontId="0" fillId="0" borderId="18" xfId="0" applyNumberFormat="1" applyBorder="1" applyAlignment="1">
      <alignment horizontal="center"/>
    </xf>
    <xf numFmtId="2" fontId="0" fillId="0" borderId="17" xfId="0" applyNumberFormat="1" applyBorder="1" applyAlignment="1">
      <alignment horizontal="center"/>
    </xf>
    <xf numFmtId="0" fontId="11" fillId="0" borderId="0" xfId="0" applyFont="1" applyFill="1" applyBorder="1" applyAlignment="1">
      <alignment horizontal="right"/>
    </xf>
    <xf numFmtId="0" fontId="20" fillId="0" borderId="0" xfId="0" applyFont="1" applyFill="1" applyBorder="1"/>
    <xf numFmtId="1" fontId="10" fillId="0" borderId="0" xfId="0" applyNumberFormat="1" applyFont="1" applyFill="1" applyBorder="1" applyProtection="1">
      <protection locked="0"/>
    </xf>
    <xf numFmtId="0" fontId="11" fillId="0" borderId="0" xfId="0" applyFont="1" applyFill="1" applyBorder="1"/>
    <xf numFmtId="10" fontId="2" fillId="0" borderId="0" xfId="0" applyNumberFormat="1" applyFont="1" applyFill="1" applyBorder="1" applyAlignment="1">
      <alignment horizontal="right"/>
    </xf>
    <xf numFmtId="0" fontId="0" fillId="0" borderId="0" xfId="0" applyFill="1" applyBorder="1" applyAlignment="1">
      <alignment horizontal="left"/>
    </xf>
    <xf numFmtId="10" fontId="46" fillId="0" borderId="23" xfId="0" applyNumberFormat="1" applyFont="1" applyBorder="1"/>
    <xf numFmtId="2" fontId="0" fillId="4" borderId="0" xfId="0" applyNumberFormat="1" applyFill="1" applyAlignment="1">
      <alignment horizontal="center"/>
    </xf>
    <xf numFmtId="0" fontId="10" fillId="15" borderId="14" xfId="0" applyFont="1" applyFill="1" applyBorder="1" applyProtection="1">
      <protection locked="0"/>
    </xf>
    <xf numFmtId="0" fontId="0" fillId="15" borderId="65" xfId="0" applyFill="1" applyBorder="1"/>
    <xf numFmtId="0" fontId="47" fillId="15" borderId="65" xfId="0" applyFont="1" applyFill="1" applyBorder="1"/>
    <xf numFmtId="2" fontId="0" fillId="14" borderId="0" xfId="0" applyNumberFormat="1" applyFill="1" applyAlignment="1">
      <alignment horizontal="center"/>
    </xf>
    <xf numFmtId="2" fontId="2" fillId="14" borderId="0" xfId="0" applyNumberFormat="1" applyFont="1" applyFill="1" applyAlignment="1">
      <alignment horizontal="center"/>
    </xf>
    <xf numFmtId="2" fontId="48" fillId="14" borderId="0" xfId="0" applyNumberFormat="1" applyFont="1" applyFill="1" applyAlignment="1">
      <alignment horizontal="center"/>
    </xf>
    <xf numFmtId="2" fontId="49" fillId="14" borderId="0" xfId="0" applyNumberFormat="1" applyFont="1" applyFill="1" applyAlignment="1">
      <alignment horizontal="center"/>
    </xf>
    <xf numFmtId="0" fontId="49" fillId="14" borderId="0" xfId="0" applyFont="1" applyFill="1" applyAlignment="1">
      <alignment horizontal="center"/>
    </xf>
    <xf numFmtId="10" fontId="1" fillId="9" borderId="17" xfId="0" applyNumberFormat="1" applyFont="1" applyFill="1" applyBorder="1" applyAlignment="1">
      <alignment horizontal="center"/>
    </xf>
    <xf numFmtId="164" fontId="9" fillId="0" borderId="11" xfId="0" applyNumberFormat="1" applyFont="1" applyBorder="1" applyAlignment="1">
      <alignment horizontal="center"/>
    </xf>
    <xf numFmtId="164" fontId="9" fillId="0" borderId="13" xfId="0" applyNumberFormat="1" applyFont="1" applyBorder="1" applyAlignment="1">
      <alignment horizontal="center"/>
    </xf>
    <xf numFmtId="164" fontId="9" fillId="0" borderId="0" xfId="0" applyNumberFormat="1" applyFont="1" applyBorder="1" applyAlignment="1">
      <alignment horizontal="center"/>
    </xf>
    <xf numFmtId="164" fontId="9" fillId="0" borderId="14" xfId="0" applyNumberFormat="1" applyFont="1" applyBorder="1" applyAlignment="1">
      <alignment horizontal="center"/>
    </xf>
    <xf numFmtId="164" fontId="9" fillId="0" borderId="15" xfId="0" applyNumberFormat="1" applyFont="1" applyBorder="1" applyAlignment="1">
      <alignment horizontal="center"/>
    </xf>
    <xf numFmtId="164" fontId="9" fillId="0" borderId="16" xfId="0" applyNumberFormat="1" applyFont="1" applyBorder="1" applyAlignment="1">
      <alignment horizontal="center"/>
    </xf>
    <xf numFmtId="164" fontId="9" fillId="0" borderId="17" xfId="0" applyNumberFormat="1" applyFont="1" applyBorder="1" applyAlignment="1">
      <alignment horizontal="center"/>
    </xf>
    <xf numFmtId="0" fontId="16" fillId="11" borderId="11" xfId="0" applyFont="1" applyFill="1" applyBorder="1" applyAlignment="1" applyProtection="1">
      <alignment horizontal="center"/>
      <protection locked="0"/>
    </xf>
    <xf numFmtId="0" fontId="16" fillId="11" borderId="14" xfId="0" applyFont="1" applyFill="1" applyBorder="1" applyAlignment="1" applyProtection="1">
      <alignment horizontal="center"/>
      <protection locked="0"/>
    </xf>
    <xf numFmtId="0" fontId="16" fillId="11" borderId="16" xfId="0" applyFont="1" applyFill="1" applyBorder="1" applyAlignment="1" applyProtection="1">
      <alignment horizontal="center"/>
      <protection locked="0"/>
    </xf>
    <xf numFmtId="164" fontId="16" fillId="6" borderId="5" xfId="0" applyNumberFormat="1" applyFont="1" applyFill="1" applyBorder="1" applyProtection="1">
      <protection locked="0"/>
    </xf>
    <xf numFmtId="1" fontId="0" fillId="14" borderId="0" xfId="0" applyNumberFormat="1" applyFill="1"/>
    <xf numFmtId="0" fontId="1" fillId="16" borderId="8" xfId="0" applyFont="1" applyFill="1" applyBorder="1"/>
    <xf numFmtId="3" fontId="1" fillId="16" borderId="9" xfId="0" applyNumberFormat="1" applyFont="1" applyFill="1" applyBorder="1" applyAlignment="1">
      <alignment horizontal="right"/>
    </xf>
    <xf numFmtId="0" fontId="21" fillId="10" borderId="19" xfId="0" applyFont="1" applyFill="1" applyBorder="1" applyAlignment="1">
      <alignment horizontal="center" wrapText="1"/>
    </xf>
    <xf numFmtId="0" fontId="21" fillId="10" borderId="24" xfId="0" applyFont="1" applyFill="1" applyBorder="1" applyAlignment="1">
      <alignment horizontal="center" wrapText="1"/>
    </xf>
    <xf numFmtId="0" fontId="21" fillId="10" borderId="33" xfId="0" applyFont="1" applyFill="1" applyBorder="1" applyAlignment="1">
      <alignment horizontal="center" wrapText="1"/>
    </xf>
    <xf numFmtId="0" fontId="21" fillId="10" borderId="34" xfId="0" applyFont="1" applyFill="1" applyBorder="1" applyAlignment="1">
      <alignment horizontal="center" wrapText="1"/>
    </xf>
    <xf numFmtId="0" fontId="21" fillId="10" borderId="36" xfId="0" applyFont="1" applyFill="1" applyBorder="1" applyAlignment="1">
      <alignment horizontal="center" wrapText="1"/>
    </xf>
    <xf numFmtId="0" fontId="21" fillId="10" borderId="37" xfId="0" applyFont="1" applyFill="1" applyBorder="1" applyAlignment="1">
      <alignment horizontal="center" wrapText="1"/>
    </xf>
    <xf numFmtId="0" fontId="21" fillId="0" borderId="40" xfId="0" applyFont="1" applyBorder="1" applyAlignment="1">
      <alignment wrapText="1"/>
    </xf>
    <xf numFmtId="0" fontId="21" fillId="0" borderId="42" xfId="0" applyFont="1" applyBorder="1" applyAlignment="1">
      <alignment wrapText="1"/>
    </xf>
    <xf numFmtId="0" fontId="21" fillId="0" borderId="43" xfId="0" applyFont="1" applyBorder="1" applyAlignment="1">
      <alignment wrapText="1"/>
    </xf>
    <xf numFmtId="0" fontId="50" fillId="0" borderId="11" xfId="0" applyFont="1" applyBorder="1" applyAlignment="1">
      <alignment vertical="top" wrapText="1"/>
    </xf>
    <xf numFmtId="0" fontId="50" fillId="0" borderId="12" xfId="0" applyFont="1" applyBorder="1" applyAlignment="1">
      <alignment vertical="top" wrapText="1"/>
    </xf>
    <xf numFmtId="0" fontId="50" fillId="0" borderId="13" xfId="0" applyFont="1" applyBorder="1" applyAlignment="1">
      <alignment vertical="top" wrapText="1"/>
    </xf>
    <xf numFmtId="0" fontId="50" fillId="0" borderId="14" xfId="0" applyFont="1" applyBorder="1" applyAlignment="1">
      <alignment vertical="top" wrapText="1"/>
    </xf>
    <xf numFmtId="0" fontId="50" fillId="0" borderId="0" xfId="0" applyFont="1" applyBorder="1" applyAlignment="1">
      <alignment vertical="top" wrapText="1"/>
    </xf>
    <xf numFmtId="0" fontId="50" fillId="0" borderId="15" xfId="0" applyFont="1" applyBorder="1" applyAlignment="1">
      <alignment vertical="top" wrapText="1"/>
    </xf>
    <xf numFmtId="0" fontId="50" fillId="0" borderId="16" xfId="0" applyFont="1" applyBorder="1" applyAlignment="1">
      <alignment vertical="top" wrapText="1"/>
    </xf>
    <xf numFmtId="0" fontId="50" fillId="0" borderId="18" xfId="0" applyFont="1" applyBorder="1" applyAlignment="1">
      <alignment vertical="top" wrapText="1"/>
    </xf>
    <xf numFmtId="0" fontId="50" fillId="0" borderId="17" xfId="0" applyFont="1" applyBorder="1" applyAlignment="1">
      <alignment vertical="top" wrapText="1"/>
    </xf>
    <xf numFmtId="0" fontId="33" fillId="0" borderId="44" xfId="0" applyFont="1" applyFill="1" applyBorder="1" applyAlignment="1">
      <alignment vertical="top" wrapText="1"/>
    </xf>
    <xf numFmtId="0" fontId="33" fillId="0" borderId="45" xfId="0" applyFont="1" applyFill="1" applyBorder="1" applyAlignment="1">
      <alignment vertical="top"/>
    </xf>
    <xf numFmtId="0" fontId="33" fillId="0" borderId="46" xfId="0" applyFont="1" applyFill="1" applyBorder="1" applyAlignment="1">
      <alignment vertical="top"/>
    </xf>
    <xf numFmtId="0" fontId="33" fillId="0" borderId="47" xfId="0" applyFont="1" applyFill="1" applyBorder="1" applyAlignment="1">
      <alignment vertical="top"/>
    </xf>
    <xf numFmtId="0" fontId="33" fillId="0" borderId="0" xfId="0" applyFont="1" applyFill="1" applyBorder="1" applyAlignment="1">
      <alignment vertical="top"/>
    </xf>
    <xf numFmtId="0" fontId="33" fillId="0" borderId="48" xfId="0" applyFont="1" applyFill="1" applyBorder="1" applyAlignment="1">
      <alignment vertical="top"/>
    </xf>
    <xf numFmtId="0" fontId="33" fillId="0" borderId="47" xfId="0" applyFont="1" applyFill="1" applyBorder="1" applyAlignment="1"/>
    <xf numFmtId="0" fontId="33" fillId="0" borderId="0" xfId="0" applyFont="1" applyFill="1" applyBorder="1" applyAlignment="1"/>
    <xf numFmtId="0" fontId="33" fillId="0" borderId="48" xfId="0" applyFont="1" applyFill="1" applyBorder="1" applyAlignment="1"/>
    <xf numFmtId="0" fontId="33" fillId="0" borderId="50" xfId="0" applyFont="1" applyFill="1" applyBorder="1" applyAlignment="1"/>
    <xf numFmtId="0" fontId="33" fillId="0" borderId="51" xfId="0" applyFont="1" applyFill="1" applyBorder="1" applyAlignment="1"/>
    <xf numFmtId="0" fontId="33" fillId="0" borderId="52" xfId="0" applyFont="1" applyFill="1" applyBorder="1" applyAlignment="1"/>
    <xf numFmtId="0" fontId="33" fillId="0" borderId="45" xfId="0" applyFont="1" applyFill="1" applyBorder="1" applyAlignment="1">
      <alignment vertical="top" wrapText="1"/>
    </xf>
    <xf numFmtId="0" fontId="33" fillId="0" borderId="46" xfId="0" applyFont="1" applyFill="1" applyBorder="1" applyAlignment="1">
      <alignment vertical="top" wrapText="1"/>
    </xf>
    <xf numFmtId="0" fontId="33" fillId="0" borderId="47" xfId="0" applyFont="1" applyFill="1" applyBorder="1" applyAlignment="1">
      <alignment vertical="top" wrapText="1"/>
    </xf>
    <xf numFmtId="0" fontId="33" fillId="0" borderId="0" xfId="0" applyFont="1" applyFill="1" applyBorder="1" applyAlignment="1">
      <alignment vertical="top" wrapText="1"/>
    </xf>
    <xf numFmtId="0" fontId="33" fillId="0" borderId="48" xfId="0" applyFont="1" applyFill="1" applyBorder="1" applyAlignment="1">
      <alignment vertical="top" wrapText="1"/>
    </xf>
    <xf numFmtId="0" fontId="33" fillId="0" borderId="50" xfId="0" applyFont="1" applyFill="1" applyBorder="1" applyAlignment="1">
      <alignment vertical="top" wrapText="1"/>
    </xf>
    <xf numFmtId="0" fontId="33" fillId="0" borderId="51" xfId="0" applyFont="1" applyFill="1" applyBorder="1" applyAlignment="1">
      <alignment vertical="top" wrapText="1"/>
    </xf>
    <xf numFmtId="0" fontId="33" fillId="0" borderId="52" xfId="0" applyFont="1" applyFill="1" applyBorder="1" applyAlignment="1">
      <alignment vertical="top" wrapText="1"/>
    </xf>
    <xf numFmtId="0" fontId="31" fillId="0" borderId="50" xfId="0" applyFont="1" applyFill="1" applyBorder="1" applyAlignment="1">
      <alignment vertical="top" wrapText="1"/>
    </xf>
    <xf numFmtId="0" fontId="31" fillId="0" borderId="51" xfId="0" applyFont="1" applyFill="1" applyBorder="1" applyAlignment="1">
      <alignment vertical="top" wrapText="1"/>
    </xf>
    <xf numFmtId="0" fontId="31" fillId="0" borderId="52" xfId="0" applyFont="1" applyFill="1" applyBorder="1" applyAlignment="1">
      <alignment vertical="top" wrapText="1"/>
    </xf>
    <xf numFmtId="0" fontId="31" fillId="0" borderId="45" xfId="0" applyFont="1" applyFill="1" applyBorder="1" applyAlignment="1">
      <alignment vertical="top" wrapText="1"/>
    </xf>
    <xf numFmtId="0" fontId="31" fillId="0" borderId="46" xfId="0" applyFont="1" applyFill="1" applyBorder="1" applyAlignment="1">
      <alignment vertical="top" wrapText="1"/>
    </xf>
    <xf numFmtId="0" fontId="31" fillId="0" borderId="47" xfId="0" applyFont="1" applyFill="1" applyBorder="1" applyAlignment="1">
      <alignment vertical="top" wrapText="1"/>
    </xf>
    <xf numFmtId="0" fontId="31" fillId="0" borderId="0" xfId="0" applyFont="1" applyFill="1" applyBorder="1" applyAlignment="1">
      <alignment vertical="top" wrapText="1"/>
    </xf>
    <xf numFmtId="0" fontId="31" fillId="0" borderId="48" xfId="0" applyFont="1" applyFill="1" applyBorder="1" applyAlignment="1">
      <alignment vertical="top" wrapText="1"/>
    </xf>
    <xf numFmtId="0" fontId="36" fillId="0" borderId="44" xfId="0" applyFont="1" applyBorder="1" applyAlignment="1">
      <alignment vertical="top" wrapText="1"/>
    </xf>
    <xf numFmtId="0" fontId="36" fillId="0" borderId="45" xfId="0" applyFont="1" applyBorder="1" applyAlignment="1">
      <alignment vertical="top" wrapText="1"/>
    </xf>
    <xf numFmtId="0" fontId="36" fillId="0" borderId="46" xfId="0" applyFont="1" applyBorder="1" applyAlignment="1">
      <alignment vertical="top" wrapText="1"/>
    </xf>
    <xf numFmtId="0" fontId="36" fillId="0" borderId="47" xfId="0" applyFont="1" applyBorder="1" applyAlignment="1">
      <alignment vertical="top" wrapText="1"/>
    </xf>
    <xf numFmtId="0" fontId="36" fillId="0" borderId="0" xfId="0" applyFont="1" applyBorder="1" applyAlignment="1">
      <alignment vertical="top" wrapText="1"/>
    </xf>
    <xf numFmtId="0" fontId="36" fillId="0" borderId="48" xfId="0" applyFont="1" applyBorder="1" applyAlignment="1">
      <alignment vertical="top" wrapText="1"/>
    </xf>
    <xf numFmtId="0" fontId="36" fillId="0" borderId="50" xfId="0" applyFont="1" applyBorder="1" applyAlignment="1">
      <alignment vertical="top" wrapText="1"/>
    </xf>
    <xf numFmtId="0" fontId="36" fillId="0" borderId="51" xfId="0" applyFont="1" applyBorder="1" applyAlignment="1">
      <alignment vertical="top" wrapText="1"/>
    </xf>
    <xf numFmtId="0" fontId="36" fillId="0" borderId="52" xfId="0" applyFont="1" applyBorder="1" applyAlignment="1">
      <alignment vertical="top" wrapText="1"/>
    </xf>
    <xf numFmtId="0" fontId="38" fillId="0" borderId="45" xfId="0" applyFont="1" applyBorder="1" applyAlignment="1">
      <alignment vertical="top" wrapText="1"/>
    </xf>
    <xf numFmtId="0" fontId="38" fillId="0" borderId="46" xfId="0" applyFont="1" applyBorder="1" applyAlignment="1">
      <alignment vertical="top" wrapText="1"/>
    </xf>
    <xf numFmtId="0" fontId="38" fillId="0" borderId="47" xfId="0" applyFont="1" applyBorder="1" applyAlignment="1">
      <alignment vertical="top" wrapText="1"/>
    </xf>
    <xf numFmtId="0" fontId="38" fillId="0" borderId="0" xfId="0" applyFont="1" applyBorder="1" applyAlignment="1">
      <alignment vertical="top" wrapText="1"/>
    </xf>
    <xf numFmtId="0" fontId="38" fillId="0" borderId="48" xfId="0" applyFont="1" applyBorder="1" applyAlignment="1">
      <alignment vertical="top" wrapText="1"/>
    </xf>
    <xf numFmtId="0" fontId="38" fillId="0" borderId="50" xfId="0" applyFont="1" applyBorder="1" applyAlignment="1">
      <alignment vertical="top" wrapText="1"/>
    </xf>
    <xf numFmtId="0" fontId="38" fillId="0" borderId="51" xfId="0" applyFont="1" applyBorder="1" applyAlignment="1">
      <alignment vertical="top" wrapText="1"/>
    </xf>
    <xf numFmtId="0" fontId="38" fillId="0" borderId="52" xfId="0" applyFont="1" applyBorder="1" applyAlignment="1">
      <alignment vertical="top" wrapText="1"/>
    </xf>
    <xf numFmtId="0" fontId="42" fillId="0" borderId="61" xfId="0" applyFont="1" applyBorder="1" applyAlignment="1">
      <alignment vertical="top" wrapText="1"/>
    </xf>
    <xf numFmtId="0" fontId="0" fillId="0" borderId="45" xfId="0" applyBorder="1" applyAlignment="1">
      <alignment wrapText="1"/>
    </xf>
    <xf numFmtId="0" fontId="0" fillId="0" borderId="62"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17" xfId="0" applyBorder="1" applyAlignment="1">
      <alignment wrapText="1"/>
    </xf>
    <xf numFmtId="0" fontId="41" fillId="0" borderId="61" xfId="0" applyFont="1" applyBorder="1" applyAlignment="1" applyProtection="1">
      <alignment vertical="top" wrapText="1"/>
      <protection locked="0"/>
    </xf>
    <xf numFmtId="0" fontId="10" fillId="0" borderId="45" xfId="0" applyFont="1" applyBorder="1" applyAlignment="1" applyProtection="1">
      <alignment vertical="top" wrapText="1"/>
      <protection locked="0"/>
    </xf>
    <xf numFmtId="0" fontId="10" fillId="0" borderId="62" xfId="0" applyFont="1" applyBorder="1" applyAlignment="1" applyProtection="1">
      <alignment vertical="top" wrapText="1"/>
      <protection locked="0"/>
    </xf>
    <xf numFmtId="0" fontId="10" fillId="0" borderId="14"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15" xfId="0" applyFont="1" applyBorder="1" applyAlignment="1" applyProtection="1">
      <alignment vertical="top" wrapText="1"/>
      <protection locked="0"/>
    </xf>
    <xf numFmtId="0" fontId="10" fillId="0" borderId="63" xfId="0" applyFont="1" applyBorder="1" applyAlignment="1" applyProtection="1">
      <alignment vertical="top" wrapText="1"/>
      <protection locked="0"/>
    </xf>
    <xf numFmtId="0" fontId="10" fillId="0" borderId="51" xfId="0" applyFont="1" applyBorder="1" applyAlignment="1" applyProtection="1">
      <alignment vertical="top" wrapText="1"/>
      <protection locked="0"/>
    </xf>
    <xf numFmtId="0" fontId="10" fillId="0" borderId="64" xfId="0" applyFont="1" applyBorder="1" applyAlignment="1" applyProtection="1">
      <alignment vertical="top" wrapText="1"/>
      <protection locked="0"/>
    </xf>
    <xf numFmtId="0" fontId="0" fillId="0" borderId="45" xfId="0" applyBorder="1" applyAlignment="1">
      <alignment vertical="top" wrapText="1"/>
    </xf>
    <xf numFmtId="0" fontId="0" fillId="0" borderId="62"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63" xfId="0" applyBorder="1" applyAlignment="1">
      <alignment vertical="top" wrapText="1"/>
    </xf>
    <xf numFmtId="0" fontId="0" fillId="0" borderId="51" xfId="0" applyBorder="1" applyAlignment="1">
      <alignment vertical="top" wrapText="1"/>
    </xf>
    <xf numFmtId="0" fontId="0" fillId="0" borderId="64" xfId="0" applyBorder="1" applyAlignment="1">
      <alignment vertical="top" wrapText="1"/>
    </xf>
    <xf numFmtId="0" fontId="0" fillId="0" borderId="63" xfId="0" applyBorder="1" applyAlignment="1">
      <alignment wrapText="1"/>
    </xf>
    <xf numFmtId="0" fontId="0" fillId="0" borderId="51" xfId="0" applyBorder="1" applyAlignment="1">
      <alignment wrapText="1"/>
    </xf>
    <xf numFmtId="0" fontId="0" fillId="0" borderId="64" xfId="0" applyBorder="1" applyAlignment="1">
      <alignment wrapText="1"/>
    </xf>
    <xf numFmtId="3" fontId="42" fillId="5" borderId="18" xfId="0" applyNumberFormat="1" applyFont="1" applyFill="1" applyBorder="1" applyAlignment="1">
      <alignment horizontal="center"/>
    </xf>
  </cellXfs>
  <cellStyles count="2">
    <cellStyle name="Hyperlink" xfId="1" builtinId="8"/>
    <cellStyle name="Normal" xfId="0" builtinId="0"/>
  </cellStyles>
  <dxfs count="24">
    <dxf>
      <font>
        <b/>
        <i val="0"/>
        <condense val="0"/>
        <extend val="0"/>
        <color indexed="10"/>
      </font>
    </dxf>
    <dxf>
      <font>
        <b/>
        <i val="0"/>
        <condense val="0"/>
        <extend val="0"/>
        <color indexed="52"/>
      </font>
    </dxf>
    <dxf>
      <font>
        <b/>
        <i val="0"/>
        <condense val="0"/>
        <extend val="0"/>
        <color indexed="53"/>
      </font>
    </dxf>
    <dxf>
      <font>
        <condense val="0"/>
        <extend val="0"/>
        <color indexed="53"/>
      </font>
    </dxf>
    <dxf>
      <font>
        <condense val="0"/>
        <extend val="0"/>
        <color indexed="53"/>
      </font>
    </dxf>
    <dxf>
      <font>
        <b/>
        <i val="0"/>
        <condense val="0"/>
        <extend val="0"/>
        <color indexed="10"/>
      </font>
    </dxf>
    <dxf>
      <font>
        <condense val="0"/>
        <extend val="0"/>
        <color indexed="9"/>
      </font>
    </dxf>
    <dxf>
      <font>
        <b val="0"/>
        <i val="0"/>
        <condense val="0"/>
        <extend val="0"/>
        <color indexed="53"/>
      </font>
    </dxf>
    <dxf>
      <font>
        <b/>
        <i val="0"/>
        <condense val="0"/>
        <extend val="0"/>
        <color indexed="10"/>
      </font>
    </dxf>
    <dxf>
      <font>
        <b/>
        <i val="0"/>
        <condense val="0"/>
        <extend val="0"/>
        <color indexed="10"/>
      </font>
    </dxf>
    <dxf>
      <font>
        <condense val="0"/>
        <extend val="0"/>
        <color rgb="FF9C0006"/>
      </font>
    </dxf>
    <dxf>
      <font>
        <color rgb="FFFFFFCC"/>
      </font>
    </dxf>
    <dxf>
      <font>
        <condense val="0"/>
        <extend val="0"/>
        <color rgb="FF9C0006"/>
      </font>
    </dxf>
    <dxf>
      <font>
        <color theme="0"/>
      </font>
    </dxf>
    <dxf>
      <font>
        <color theme="0"/>
      </font>
    </dxf>
    <dxf>
      <font>
        <condense val="0"/>
        <extend val="0"/>
        <color indexed="9"/>
      </font>
      <fill>
        <patternFill patternType="none">
          <bgColor indexed="65"/>
        </patternFill>
      </fill>
    </dxf>
    <dxf>
      <font>
        <condense val="0"/>
        <extend val="0"/>
        <color indexed="17"/>
      </font>
    </dxf>
    <dxf>
      <font>
        <b/>
        <i val="0"/>
        <condense val="0"/>
        <extend val="0"/>
        <color indexed="10"/>
      </font>
    </dxf>
    <dxf>
      <font>
        <b/>
        <i val="0"/>
        <condense val="0"/>
        <extend val="0"/>
        <color indexed="10"/>
      </font>
    </dxf>
    <dxf>
      <font>
        <b/>
        <i val="0"/>
        <color rgb="FF00CC00"/>
      </font>
    </dxf>
    <dxf>
      <font>
        <b/>
        <i val="0"/>
        <condense val="0"/>
        <extend val="0"/>
        <color indexed="10"/>
      </font>
    </dxf>
    <dxf>
      <font>
        <b/>
        <i val="0"/>
        <condense val="0"/>
        <extend val="0"/>
        <color indexed="10"/>
      </font>
    </dxf>
    <dxf>
      <font>
        <condense val="0"/>
        <extend val="0"/>
        <color indexed="17"/>
      </font>
    </dxf>
    <dxf>
      <font>
        <b/>
        <i val="0"/>
        <condense val="0"/>
        <extend val="0"/>
        <color indexed="10"/>
      </font>
    </dxf>
  </dxfs>
  <tableStyles count="0" defaultTableStyle="TableStyleMedium9" defaultPivotStyle="PivotStyleLight16"/>
  <colors>
    <mruColors>
      <color rgb="FF0000FF"/>
      <color rgb="FFCCCCFF"/>
      <color rgb="FFCC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hyperlink" Target="http://www.coagmet.com/#www.coagmet.com"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28575</xdr:colOff>
      <xdr:row>21</xdr:row>
      <xdr:rowOff>19050</xdr:rowOff>
    </xdr:from>
    <xdr:to>
      <xdr:col>20</xdr:col>
      <xdr:colOff>0</xdr:colOff>
      <xdr:row>32</xdr:row>
      <xdr:rowOff>95250</xdr:rowOff>
    </xdr:to>
    <xdr:pic>
      <xdr:nvPicPr>
        <xdr:cNvPr id="2"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10410825" y="3295650"/>
          <a:ext cx="2409825" cy="1809750"/>
        </a:xfrm>
        <a:prstGeom prst="rect">
          <a:avLst/>
        </a:prstGeom>
        <a:noFill/>
        <a:ln w="38100" cmpd="dbl">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257175</xdr:colOff>
      <xdr:row>32</xdr:row>
      <xdr:rowOff>19050</xdr:rowOff>
    </xdr:from>
    <xdr:to>
      <xdr:col>9</xdr:col>
      <xdr:colOff>57150</xdr:colOff>
      <xdr:row>33</xdr:row>
      <xdr:rowOff>28575</xdr:rowOff>
    </xdr:to>
    <xdr:sp macro="" textlink="">
      <xdr:nvSpPr>
        <xdr:cNvPr id="2" name="Text Box 23">
          <a:hlinkClick xmlns:r="http://schemas.openxmlformats.org/officeDocument/2006/relationships" r:id="rId1"/>
        </xdr:cNvPr>
        <xdr:cNvSpPr txBox="1">
          <a:spLocks noChangeArrowheads="1"/>
        </xdr:cNvSpPr>
      </xdr:nvSpPr>
      <xdr:spPr bwMode="auto">
        <a:xfrm>
          <a:off x="4724400" y="5210175"/>
          <a:ext cx="1019175" cy="1809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sng" strike="noStrike" baseline="0">
              <a:solidFill>
                <a:srgbClr val="0000FF"/>
              </a:solidFill>
              <a:latin typeface="Arial"/>
              <a:cs typeface="Arial"/>
            </a:rPr>
            <a:t>www.coagmet.com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26</xdr:row>
      <xdr:rowOff>85726</xdr:rowOff>
    </xdr:from>
    <xdr:to>
      <xdr:col>4</xdr:col>
      <xdr:colOff>247650</xdr:colOff>
      <xdr:row>34</xdr:row>
      <xdr:rowOff>103808</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85875" y="5105401"/>
          <a:ext cx="1647825" cy="1542082"/>
        </a:xfrm>
        <a:prstGeom prst="rect">
          <a:avLst/>
        </a:prstGeom>
        <a:noFill/>
        <a:ln w="38100" cmpd="dbl">
          <a:solidFill>
            <a:srgbClr val="000000"/>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Ac%20Audit%20Furrow%20V3.1%200819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eld Info"/>
      <sheetName val="Furrow Snapshot"/>
      <sheetName val="Bucket Test"/>
      <sheetName val="Seasonal"/>
      <sheetName val="Report"/>
      <sheetName val="Conversions"/>
    </sheetNames>
    <sheetDataSet>
      <sheetData sheetId="0">
        <row r="6">
          <cell r="D6">
            <v>99</v>
          </cell>
        </row>
        <row r="33">
          <cell r="H33">
            <v>10</v>
          </cell>
        </row>
        <row r="34">
          <cell r="C34">
            <v>1</v>
          </cell>
        </row>
      </sheetData>
      <sheetData sheetId="1">
        <row r="24">
          <cell r="F24">
            <v>6.5</v>
          </cell>
        </row>
        <row r="29">
          <cell r="F29">
            <v>12</v>
          </cell>
        </row>
        <row r="31">
          <cell r="F31">
            <v>4</v>
          </cell>
        </row>
      </sheetData>
      <sheetData sheetId="2"/>
      <sheetData sheetId="3">
        <row r="9">
          <cell r="C9">
            <v>1.4507450159442246E-4</v>
          </cell>
        </row>
      </sheetData>
      <sheetData sheetId="4"/>
      <sheetData sheetId="5">
        <row r="2">
          <cell r="B2">
            <v>43560</v>
          </cell>
        </row>
        <row r="4">
          <cell r="B4">
            <v>325851.38500000001</v>
          </cell>
        </row>
        <row r="6">
          <cell r="B6">
            <v>27154.282083333335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enis.Reich@Colostate.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ebsoilsurvey.nrcs.usda.gov/app/HomePage.ht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K63"/>
  <sheetViews>
    <sheetView tabSelected="1" zoomScaleNormal="100" workbookViewId="0">
      <selection activeCell="B2" sqref="B2"/>
    </sheetView>
  </sheetViews>
  <sheetFormatPr defaultRowHeight="15"/>
  <cols>
    <col min="1" max="1" width="3.140625" customWidth="1"/>
    <col min="2" max="2" width="13.7109375" customWidth="1"/>
    <col min="3" max="3" width="14.5703125" customWidth="1"/>
    <col min="4" max="4" width="11.85546875" customWidth="1"/>
    <col min="5" max="5" width="9" customWidth="1"/>
    <col min="6" max="6" width="10" customWidth="1"/>
    <col min="7" max="7" width="9.85546875" customWidth="1"/>
    <col min="9" max="9" width="10.42578125" customWidth="1"/>
    <col min="12" max="12" width="9.140625" customWidth="1"/>
    <col min="13" max="13" width="11.28515625" customWidth="1"/>
    <col min="14" max="14" width="9" customWidth="1"/>
    <col min="259" max="259" width="3.140625" customWidth="1"/>
    <col min="260" max="260" width="13.7109375" customWidth="1"/>
    <col min="261" max="261" width="14.5703125" customWidth="1"/>
    <col min="262" max="262" width="11.85546875" customWidth="1"/>
    <col min="263" max="263" width="9" customWidth="1"/>
    <col min="264" max="264" width="10" customWidth="1"/>
    <col min="265" max="265" width="9.85546875" customWidth="1"/>
    <col min="267" max="267" width="10.42578125" customWidth="1"/>
    <col min="270" max="270" width="9.140625" customWidth="1"/>
    <col min="271" max="271" width="10" customWidth="1"/>
    <col min="272" max="272" width="8.28515625" customWidth="1"/>
    <col min="515" max="515" width="3.140625" customWidth="1"/>
    <col min="516" max="516" width="13.7109375" customWidth="1"/>
    <col min="517" max="517" width="14.5703125" customWidth="1"/>
    <col min="518" max="518" width="11.85546875" customWidth="1"/>
    <col min="519" max="519" width="9" customWidth="1"/>
    <col min="520" max="520" width="10" customWidth="1"/>
    <col min="521" max="521" width="9.85546875" customWidth="1"/>
    <col min="523" max="523" width="10.42578125" customWidth="1"/>
    <col min="526" max="526" width="9.140625" customWidth="1"/>
    <col min="527" max="527" width="10" customWidth="1"/>
    <col min="528" max="528" width="8.28515625" customWidth="1"/>
    <col min="771" max="771" width="3.140625" customWidth="1"/>
    <col min="772" max="772" width="13.7109375" customWidth="1"/>
    <col min="773" max="773" width="14.5703125" customWidth="1"/>
    <col min="774" max="774" width="11.85546875" customWidth="1"/>
    <col min="775" max="775" width="9" customWidth="1"/>
    <col min="776" max="776" width="10" customWidth="1"/>
    <col min="777" max="777" width="9.85546875" customWidth="1"/>
    <col min="779" max="779" width="10.42578125" customWidth="1"/>
    <col min="782" max="782" width="9.140625" customWidth="1"/>
    <col min="783" max="783" width="10" customWidth="1"/>
    <col min="784" max="784" width="8.28515625" customWidth="1"/>
    <col min="1027" max="1027" width="3.140625" customWidth="1"/>
    <col min="1028" max="1028" width="13.7109375" customWidth="1"/>
    <col min="1029" max="1029" width="14.5703125" customWidth="1"/>
    <col min="1030" max="1030" width="11.85546875" customWidth="1"/>
    <col min="1031" max="1031" width="9" customWidth="1"/>
    <col min="1032" max="1032" width="10" customWidth="1"/>
    <col min="1033" max="1033" width="9.85546875" customWidth="1"/>
    <col min="1035" max="1035" width="10.42578125" customWidth="1"/>
    <col min="1038" max="1038" width="9.140625" customWidth="1"/>
    <col min="1039" max="1039" width="10" customWidth="1"/>
    <col min="1040" max="1040" width="8.28515625" customWidth="1"/>
    <col min="1283" max="1283" width="3.140625" customWidth="1"/>
    <col min="1284" max="1284" width="13.7109375" customWidth="1"/>
    <col min="1285" max="1285" width="14.5703125" customWidth="1"/>
    <col min="1286" max="1286" width="11.85546875" customWidth="1"/>
    <col min="1287" max="1287" width="9" customWidth="1"/>
    <col min="1288" max="1288" width="10" customWidth="1"/>
    <col min="1289" max="1289" width="9.85546875" customWidth="1"/>
    <col min="1291" max="1291" width="10.42578125" customWidth="1"/>
    <col min="1294" max="1294" width="9.140625" customWidth="1"/>
    <col min="1295" max="1295" width="10" customWidth="1"/>
    <col min="1296" max="1296" width="8.28515625" customWidth="1"/>
    <col min="1539" max="1539" width="3.140625" customWidth="1"/>
    <col min="1540" max="1540" width="13.7109375" customWidth="1"/>
    <col min="1541" max="1541" width="14.5703125" customWidth="1"/>
    <col min="1542" max="1542" width="11.85546875" customWidth="1"/>
    <col min="1543" max="1543" width="9" customWidth="1"/>
    <col min="1544" max="1544" width="10" customWidth="1"/>
    <col min="1545" max="1545" width="9.85546875" customWidth="1"/>
    <col min="1547" max="1547" width="10.42578125" customWidth="1"/>
    <col min="1550" max="1550" width="9.140625" customWidth="1"/>
    <col min="1551" max="1551" width="10" customWidth="1"/>
    <col min="1552" max="1552" width="8.28515625" customWidth="1"/>
    <col min="1795" max="1795" width="3.140625" customWidth="1"/>
    <col min="1796" max="1796" width="13.7109375" customWidth="1"/>
    <col min="1797" max="1797" width="14.5703125" customWidth="1"/>
    <col min="1798" max="1798" width="11.85546875" customWidth="1"/>
    <col min="1799" max="1799" width="9" customWidth="1"/>
    <col min="1800" max="1800" width="10" customWidth="1"/>
    <col min="1801" max="1801" width="9.85546875" customWidth="1"/>
    <col min="1803" max="1803" width="10.42578125" customWidth="1"/>
    <col min="1806" max="1806" width="9.140625" customWidth="1"/>
    <col min="1807" max="1807" width="10" customWidth="1"/>
    <col min="1808" max="1808" width="8.28515625" customWidth="1"/>
    <col min="2051" max="2051" width="3.140625" customWidth="1"/>
    <col min="2052" max="2052" width="13.7109375" customWidth="1"/>
    <col min="2053" max="2053" width="14.5703125" customWidth="1"/>
    <col min="2054" max="2054" width="11.85546875" customWidth="1"/>
    <col min="2055" max="2055" width="9" customWidth="1"/>
    <col min="2056" max="2056" width="10" customWidth="1"/>
    <col min="2057" max="2057" width="9.85546875" customWidth="1"/>
    <col min="2059" max="2059" width="10.42578125" customWidth="1"/>
    <col min="2062" max="2062" width="9.140625" customWidth="1"/>
    <col min="2063" max="2063" width="10" customWidth="1"/>
    <col min="2064" max="2064" width="8.28515625" customWidth="1"/>
    <col min="2307" max="2307" width="3.140625" customWidth="1"/>
    <col min="2308" max="2308" width="13.7109375" customWidth="1"/>
    <col min="2309" max="2309" width="14.5703125" customWidth="1"/>
    <col min="2310" max="2310" width="11.85546875" customWidth="1"/>
    <col min="2311" max="2311" width="9" customWidth="1"/>
    <col min="2312" max="2312" width="10" customWidth="1"/>
    <col min="2313" max="2313" width="9.85546875" customWidth="1"/>
    <col min="2315" max="2315" width="10.42578125" customWidth="1"/>
    <col min="2318" max="2318" width="9.140625" customWidth="1"/>
    <col min="2319" max="2319" width="10" customWidth="1"/>
    <col min="2320" max="2320" width="8.28515625" customWidth="1"/>
    <col min="2563" max="2563" width="3.140625" customWidth="1"/>
    <col min="2564" max="2564" width="13.7109375" customWidth="1"/>
    <col min="2565" max="2565" width="14.5703125" customWidth="1"/>
    <col min="2566" max="2566" width="11.85546875" customWidth="1"/>
    <col min="2567" max="2567" width="9" customWidth="1"/>
    <col min="2568" max="2568" width="10" customWidth="1"/>
    <col min="2569" max="2569" width="9.85546875" customWidth="1"/>
    <col min="2571" max="2571" width="10.42578125" customWidth="1"/>
    <col min="2574" max="2574" width="9.140625" customWidth="1"/>
    <col min="2575" max="2575" width="10" customWidth="1"/>
    <col min="2576" max="2576" width="8.28515625" customWidth="1"/>
    <col min="2819" max="2819" width="3.140625" customWidth="1"/>
    <col min="2820" max="2820" width="13.7109375" customWidth="1"/>
    <col min="2821" max="2821" width="14.5703125" customWidth="1"/>
    <col min="2822" max="2822" width="11.85546875" customWidth="1"/>
    <col min="2823" max="2823" width="9" customWidth="1"/>
    <col min="2824" max="2824" width="10" customWidth="1"/>
    <col min="2825" max="2825" width="9.85546875" customWidth="1"/>
    <col min="2827" max="2827" width="10.42578125" customWidth="1"/>
    <col min="2830" max="2830" width="9.140625" customWidth="1"/>
    <col min="2831" max="2831" width="10" customWidth="1"/>
    <col min="2832" max="2832" width="8.28515625" customWidth="1"/>
    <col min="3075" max="3075" width="3.140625" customWidth="1"/>
    <col min="3076" max="3076" width="13.7109375" customWidth="1"/>
    <col min="3077" max="3077" width="14.5703125" customWidth="1"/>
    <col min="3078" max="3078" width="11.85546875" customWidth="1"/>
    <col min="3079" max="3079" width="9" customWidth="1"/>
    <col min="3080" max="3080" width="10" customWidth="1"/>
    <col min="3081" max="3081" width="9.85546875" customWidth="1"/>
    <col min="3083" max="3083" width="10.42578125" customWidth="1"/>
    <col min="3086" max="3086" width="9.140625" customWidth="1"/>
    <col min="3087" max="3087" width="10" customWidth="1"/>
    <col min="3088" max="3088" width="8.28515625" customWidth="1"/>
    <col min="3331" max="3331" width="3.140625" customWidth="1"/>
    <col min="3332" max="3332" width="13.7109375" customWidth="1"/>
    <col min="3333" max="3333" width="14.5703125" customWidth="1"/>
    <col min="3334" max="3334" width="11.85546875" customWidth="1"/>
    <col min="3335" max="3335" width="9" customWidth="1"/>
    <col min="3336" max="3336" width="10" customWidth="1"/>
    <col min="3337" max="3337" width="9.85546875" customWidth="1"/>
    <col min="3339" max="3339" width="10.42578125" customWidth="1"/>
    <col min="3342" max="3342" width="9.140625" customWidth="1"/>
    <col min="3343" max="3343" width="10" customWidth="1"/>
    <col min="3344" max="3344" width="8.28515625" customWidth="1"/>
    <col min="3587" max="3587" width="3.140625" customWidth="1"/>
    <col min="3588" max="3588" width="13.7109375" customWidth="1"/>
    <col min="3589" max="3589" width="14.5703125" customWidth="1"/>
    <col min="3590" max="3590" width="11.85546875" customWidth="1"/>
    <col min="3591" max="3591" width="9" customWidth="1"/>
    <col min="3592" max="3592" width="10" customWidth="1"/>
    <col min="3593" max="3593" width="9.85546875" customWidth="1"/>
    <col min="3595" max="3595" width="10.42578125" customWidth="1"/>
    <col min="3598" max="3598" width="9.140625" customWidth="1"/>
    <col min="3599" max="3599" width="10" customWidth="1"/>
    <col min="3600" max="3600" width="8.28515625" customWidth="1"/>
    <col min="3843" max="3843" width="3.140625" customWidth="1"/>
    <col min="3844" max="3844" width="13.7109375" customWidth="1"/>
    <col min="3845" max="3845" width="14.5703125" customWidth="1"/>
    <col min="3846" max="3846" width="11.85546875" customWidth="1"/>
    <col min="3847" max="3847" width="9" customWidth="1"/>
    <col min="3848" max="3848" width="10" customWidth="1"/>
    <col min="3849" max="3849" width="9.85546875" customWidth="1"/>
    <col min="3851" max="3851" width="10.42578125" customWidth="1"/>
    <col min="3854" max="3854" width="9.140625" customWidth="1"/>
    <col min="3855" max="3855" width="10" customWidth="1"/>
    <col min="3856" max="3856" width="8.28515625" customWidth="1"/>
    <col min="4099" max="4099" width="3.140625" customWidth="1"/>
    <col min="4100" max="4100" width="13.7109375" customWidth="1"/>
    <col min="4101" max="4101" width="14.5703125" customWidth="1"/>
    <col min="4102" max="4102" width="11.85546875" customWidth="1"/>
    <col min="4103" max="4103" width="9" customWidth="1"/>
    <col min="4104" max="4104" width="10" customWidth="1"/>
    <col min="4105" max="4105" width="9.85546875" customWidth="1"/>
    <col min="4107" max="4107" width="10.42578125" customWidth="1"/>
    <col min="4110" max="4110" width="9.140625" customWidth="1"/>
    <col min="4111" max="4111" width="10" customWidth="1"/>
    <col min="4112" max="4112" width="8.28515625" customWidth="1"/>
    <col min="4355" max="4355" width="3.140625" customWidth="1"/>
    <col min="4356" max="4356" width="13.7109375" customWidth="1"/>
    <col min="4357" max="4357" width="14.5703125" customWidth="1"/>
    <col min="4358" max="4358" width="11.85546875" customWidth="1"/>
    <col min="4359" max="4359" width="9" customWidth="1"/>
    <col min="4360" max="4360" width="10" customWidth="1"/>
    <col min="4361" max="4361" width="9.85546875" customWidth="1"/>
    <col min="4363" max="4363" width="10.42578125" customWidth="1"/>
    <col min="4366" max="4366" width="9.140625" customWidth="1"/>
    <col min="4367" max="4367" width="10" customWidth="1"/>
    <col min="4368" max="4368" width="8.28515625" customWidth="1"/>
    <col min="4611" max="4611" width="3.140625" customWidth="1"/>
    <col min="4612" max="4612" width="13.7109375" customWidth="1"/>
    <col min="4613" max="4613" width="14.5703125" customWidth="1"/>
    <col min="4614" max="4614" width="11.85546875" customWidth="1"/>
    <col min="4615" max="4615" width="9" customWidth="1"/>
    <col min="4616" max="4616" width="10" customWidth="1"/>
    <col min="4617" max="4617" width="9.85546875" customWidth="1"/>
    <col min="4619" max="4619" width="10.42578125" customWidth="1"/>
    <col min="4622" max="4622" width="9.140625" customWidth="1"/>
    <col min="4623" max="4623" width="10" customWidth="1"/>
    <col min="4624" max="4624" width="8.28515625" customWidth="1"/>
    <col min="4867" max="4867" width="3.140625" customWidth="1"/>
    <col min="4868" max="4868" width="13.7109375" customWidth="1"/>
    <col min="4869" max="4869" width="14.5703125" customWidth="1"/>
    <col min="4870" max="4870" width="11.85546875" customWidth="1"/>
    <col min="4871" max="4871" width="9" customWidth="1"/>
    <col min="4872" max="4872" width="10" customWidth="1"/>
    <col min="4873" max="4873" width="9.85546875" customWidth="1"/>
    <col min="4875" max="4875" width="10.42578125" customWidth="1"/>
    <col min="4878" max="4878" width="9.140625" customWidth="1"/>
    <col min="4879" max="4879" width="10" customWidth="1"/>
    <col min="4880" max="4880" width="8.28515625" customWidth="1"/>
    <col min="5123" max="5123" width="3.140625" customWidth="1"/>
    <col min="5124" max="5124" width="13.7109375" customWidth="1"/>
    <col min="5125" max="5125" width="14.5703125" customWidth="1"/>
    <col min="5126" max="5126" width="11.85546875" customWidth="1"/>
    <col min="5127" max="5127" width="9" customWidth="1"/>
    <col min="5128" max="5128" width="10" customWidth="1"/>
    <col min="5129" max="5129" width="9.85546875" customWidth="1"/>
    <col min="5131" max="5131" width="10.42578125" customWidth="1"/>
    <col min="5134" max="5134" width="9.140625" customWidth="1"/>
    <col min="5135" max="5135" width="10" customWidth="1"/>
    <col min="5136" max="5136" width="8.28515625" customWidth="1"/>
    <col min="5379" max="5379" width="3.140625" customWidth="1"/>
    <col min="5380" max="5380" width="13.7109375" customWidth="1"/>
    <col min="5381" max="5381" width="14.5703125" customWidth="1"/>
    <col min="5382" max="5382" width="11.85546875" customWidth="1"/>
    <col min="5383" max="5383" width="9" customWidth="1"/>
    <col min="5384" max="5384" width="10" customWidth="1"/>
    <col min="5385" max="5385" width="9.85546875" customWidth="1"/>
    <col min="5387" max="5387" width="10.42578125" customWidth="1"/>
    <col min="5390" max="5390" width="9.140625" customWidth="1"/>
    <col min="5391" max="5391" width="10" customWidth="1"/>
    <col min="5392" max="5392" width="8.28515625" customWidth="1"/>
    <col min="5635" max="5635" width="3.140625" customWidth="1"/>
    <col min="5636" max="5636" width="13.7109375" customWidth="1"/>
    <col min="5637" max="5637" width="14.5703125" customWidth="1"/>
    <col min="5638" max="5638" width="11.85546875" customWidth="1"/>
    <col min="5639" max="5639" width="9" customWidth="1"/>
    <col min="5640" max="5640" width="10" customWidth="1"/>
    <col min="5641" max="5641" width="9.85546875" customWidth="1"/>
    <col min="5643" max="5643" width="10.42578125" customWidth="1"/>
    <col min="5646" max="5646" width="9.140625" customWidth="1"/>
    <col min="5647" max="5647" width="10" customWidth="1"/>
    <col min="5648" max="5648" width="8.28515625" customWidth="1"/>
    <col min="5891" max="5891" width="3.140625" customWidth="1"/>
    <col min="5892" max="5892" width="13.7109375" customWidth="1"/>
    <col min="5893" max="5893" width="14.5703125" customWidth="1"/>
    <col min="5894" max="5894" width="11.85546875" customWidth="1"/>
    <col min="5895" max="5895" width="9" customWidth="1"/>
    <col min="5896" max="5896" width="10" customWidth="1"/>
    <col min="5897" max="5897" width="9.85546875" customWidth="1"/>
    <col min="5899" max="5899" width="10.42578125" customWidth="1"/>
    <col min="5902" max="5902" width="9.140625" customWidth="1"/>
    <col min="5903" max="5903" width="10" customWidth="1"/>
    <col min="5904" max="5904" width="8.28515625" customWidth="1"/>
    <col min="6147" max="6147" width="3.140625" customWidth="1"/>
    <col min="6148" max="6148" width="13.7109375" customWidth="1"/>
    <col min="6149" max="6149" width="14.5703125" customWidth="1"/>
    <col min="6150" max="6150" width="11.85546875" customWidth="1"/>
    <col min="6151" max="6151" width="9" customWidth="1"/>
    <col min="6152" max="6152" width="10" customWidth="1"/>
    <col min="6153" max="6153" width="9.85546875" customWidth="1"/>
    <col min="6155" max="6155" width="10.42578125" customWidth="1"/>
    <col min="6158" max="6158" width="9.140625" customWidth="1"/>
    <col min="6159" max="6159" width="10" customWidth="1"/>
    <col min="6160" max="6160" width="8.28515625" customWidth="1"/>
    <col min="6403" max="6403" width="3.140625" customWidth="1"/>
    <col min="6404" max="6404" width="13.7109375" customWidth="1"/>
    <col min="6405" max="6405" width="14.5703125" customWidth="1"/>
    <col min="6406" max="6406" width="11.85546875" customWidth="1"/>
    <col min="6407" max="6407" width="9" customWidth="1"/>
    <col min="6408" max="6408" width="10" customWidth="1"/>
    <col min="6409" max="6409" width="9.85546875" customWidth="1"/>
    <col min="6411" max="6411" width="10.42578125" customWidth="1"/>
    <col min="6414" max="6414" width="9.140625" customWidth="1"/>
    <col min="6415" max="6415" width="10" customWidth="1"/>
    <col min="6416" max="6416" width="8.28515625" customWidth="1"/>
    <col min="6659" max="6659" width="3.140625" customWidth="1"/>
    <col min="6660" max="6660" width="13.7109375" customWidth="1"/>
    <col min="6661" max="6661" width="14.5703125" customWidth="1"/>
    <col min="6662" max="6662" width="11.85546875" customWidth="1"/>
    <col min="6663" max="6663" width="9" customWidth="1"/>
    <col min="6664" max="6664" width="10" customWidth="1"/>
    <col min="6665" max="6665" width="9.85546875" customWidth="1"/>
    <col min="6667" max="6667" width="10.42578125" customWidth="1"/>
    <col min="6670" max="6670" width="9.140625" customWidth="1"/>
    <col min="6671" max="6671" width="10" customWidth="1"/>
    <col min="6672" max="6672" width="8.28515625" customWidth="1"/>
    <col min="6915" max="6915" width="3.140625" customWidth="1"/>
    <col min="6916" max="6916" width="13.7109375" customWidth="1"/>
    <col min="6917" max="6917" width="14.5703125" customWidth="1"/>
    <col min="6918" max="6918" width="11.85546875" customWidth="1"/>
    <col min="6919" max="6919" width="9" customWidth="1"/>
    <col min="6920" max="6920" width="10" customWidth="1"/>
    <col min="6921" max="6921" width="9.85546875" customWidth="1"/>
    <col min="6923" max="6923" width="10.42578125" customWidth="1"/>
    <col min="6926" max="6926" width="9.140625" customWidth="1"/>
    <col min="6927" max="6927" width="10" customWidth="1"/>
    <col min="6928" max="6928" width="8.28515625" customWidth="1"/>
    <col min="7171" max="7171" width="3.140625" customWidth="1"/>
    <col min="7172" max="7172" width="13.7109375" customWidth="1"/>
    <col min="7173" max="7173" width="14.5703125" customWidth="1"/>
    <col min="7174" max="7174" width="11.85546875" customWidth="1"/>
    <col min="7175" max="7175" width="9" customWidth="1"/>
    <col min="7176" max="7176" width="10" customWidth="1"/>
    <col min="7177" max="7177" width="9.85546875" customWidth="1"/>
    <col min="7179" max="7179" width="10.42578125" customWidth="1"/>
    <col min="7182" max="7182" width="9.140625" customWidth="1"/>
    <col min="7183" max="7183" width="10" customWidth="1"/>
    <col min="7184" max="7184" width="8.28515625" customWidth="1"/>
    <col min="7427" max="7427" width="3.140625" customWidth="1"/>
    <col min="7428" max="7428" width="13.7109375" customWidth="1"/>
    <col min="7429" max="7429" width="14.5703125" customWidth="1"/>
    <col min="7430" max="7430" width="11.85546875" customWidth="1"/>
    <col min="7431" max="7431" width="9" customWidth="1"/>
    <col min="7432" max="7432" width="10" customWidth="1"/>
    <col min="7433" max="7433" width="9.85546875" customWidth="1"/>
    <col min="7435" max="7435" width="10.42578125" customWidth="1"/>
    <col min="7438" max="7438" width="9.140625" customWidth="1"/>
    <col min="7439" max="7439" width="10" customWidth="1"/>
    <col min="7440" max="7440" width="8.28515625" customWidth="1"/>
    <col min="7683" max="7683" width="3.140625" customWidth="1"/>
    <col min="7684" max="7684" width="13.7109375" customWidth="1"/>
    <col min="7685" max="7685" width="14.5703125" customWidth="1"/>
    <col min="7686" max="7686" width="11.85546875" customWidth="1"/>
    <col min="7687" max="7687" width="9" customWidth="1"/>
    <col min="7688" max="7688" width="10" customWidth="1"/>
    <col min="7689" max="7689" width="9.85546875" customWidth="1"/>
    <col min="7691" max="7691" width="10.42578125" customWidth="1"/>
    <col min="7694" max="7694" width="9.140625" customWidth="1"/>
    <col min="7695" max="7695" width="10" customWidth="1"/>
    <col min="7696" max="7696" width="8.28515625" customWidth="1"/>
    <col min="7939" max="7939" width="3.140625" customWidth="1"/>
    <col min="7940" max="7940" width="13.7109375" customWidth="1"/>
    <col min="7941" max="7941" width="14.5703125" customWidth="1"/>
    <col min="7942" max="7942" width="11.85546875" customWidth="1"/>
    <col min="7943" max="7943" width="9" customWidth="1"/>
    <col min="7944" max="7944" width="10" customWidth="1"/>
    <col min="7945" max="7945" width="9.85546875" customWidth="1"/>
    <col min="7947" max="7947" width="10.42578125" customWidth="1"/>
    <col min="7950" max="7950" width="9.140625" customWidth="1"/>
    <col min="7951" max="7951" width="10" customWidth="1"/>
    <col min="7952" max="7952" width="8.28515625" customWidth="1"/>
    <col min="8195" max="8195" width="3.140625" customWidth="1"/>
    <col min="8196" max="8196" width="13.7109375" customWidth="1"/>
    <col min="8197" max="8197" width="14.5703125" customWidth="1"/>
    <col min="8198" max="8198" width="11.85546875" customWidth="1"/>
    <col min="8199" max="8199" width="9" customWidth="1"/>
    <col min="8200" max="8200" width="10" customWidth="1"/>
    <col min="8201" max="8201" width="9.85546875" customWidth="1"/>
    <col min="8203" max="8203" width="10.42578125" customWidth="1"/>
    <col min="8206" max="8206" width="9.140625" customWidth="1"/>
    <col min="8207" max="8207" width="10" customWidth="1"/>
    <col min="8208" max="8208" width="8.28515625" customWidth="1"/>
    <col min="8451" max="8451" width="3.140625" customWidth="1"/>
    <col min="8452" max="8452" width="13.7109375" customWidth="1"/>
    <col min="8453" max="8453" width="14.5703125" customWidth="1"/>
    <col min="8454" max="8454" width="11.85546875" customWidth="1"/>
    <col min="8455" max="8455" width="9" customWidth="1"/>
    <col min="8456" max="8456" width="10" customWidth="1"/>
    <col min="8457" max="8457" width="9.85546875" customWidth="1"/>
    <col min="8459" max="8459" width="10.42578125" customWidth="1"/>
    <col min="8462" max="8462" width="9.140625" customWidth="1"/>
    <col min="8463" max="8463" width="10" customWidth="1"/>
    <col min="8464" max="8464" width="8.28515625" customWidth="1"/>
    <col min="8707" max="8707" width="3.140625" customWidth="1"/>
    <col min="8708" max="8708" width="13.7109375" customWidth="1"/>
    <col min="8709" max="8709" width="14.5703125" customWidth="1"/>
    <col min="8710" max="8710" width="11.85546875" customWidth="1"/>
    <col min="8711" max="8711" width="9" customWidth="1"/>
    <col min="8712" max="8712" width="10" customWidth="1"/>
    <col min="8713" max="8713" width="9.85546875" customWidth="1"/>
    <col min="8715" max="8715" width="10.42578125" customWidth="1"/>
    <col min="8718" max="8718" width="9.140625" customWidth="1"/>
    <col min="8719" max="8719" width="10" customWidth="1"/>
    <col min="8720" max="8720" width="8.28515625" customWidth="1"/>
    <col min="8963" max="8963" width="3.140625" customWidth="1"/>
    <col min="8964" max="8964" width="13.7109375" customWidth="1"/>
    <col min="8965" max="8965" width="14.5703125" customWidth="1"/>
    <col min="8966" max="8966" width="11.85546875" customWidth="1"/>
    <col min="8967" max="8967" width="9" customWidth="1"/>
    <col min="8968" max="8968" width="10" customWidth="1"/>
    <col min="8969" max="8969" width="9.85546875" customWidth="1"/>
    <col min="8971" max="8971" width="10.42578125" customWidth="1"/>
    <col min="8974" max="8974" width="9.140625" customWidth="1"/>
    <col min="8975" max="8975" width="10" customWidth="1"/>
    <col min="8976" max="8976" width="8.28515625" customWidth="1"/>
    <col min="9219" max="9219" width="3.140625" customWidth="1"/>
    <col min="9220" max="9220" width="13.7109375" customWidth="1"/>
    <col min="9221" max="9221" width="14.5703125" customWidth="1"/>
    <col min="9222" max="9222" width="11.85546875" customWidth="1"/>
    <col min="9223" max="9223" width="9" customWidth="1"/>
    <col min="9224" max="9224" width="10" customWidth="1"/>
    <col min="9225" max="9225" width="9.85546875" customWidth="1"/>
    <col min="9227" max="9227" width="10.42578125" customWidth="1"/>
    <col min="9230" max="9230" width="9.140625" customWidth="1"/>
    <col min="9231" max="9231" width="10" customWidth="1"/>
    <col min="9232" max="9232" width="8.28515625" customWidth="1"/>
    <col min="9475" max="9475" width="3.140625" customWidth="1"/>
    <col min="9476" max="9476" width="13.7109375" customWidth="1"/>
    <col min="9477" max="9477" width="14.5703125" customWidth="1"/>
    <col min="9478" max="9478" width="11.85546875" customWidth="1"/>
    <col min="9479" max="9479" width="9" customWidth="1"/>
    <col min="9480" max="9480" width="10" customWidth="1"/>
    <col min="9481" max="9481" width="9.85546875" customWidth="1"/>
    <col min="9483" max="9483" width="10.42578125" customWidth="1"/>
    <col min="9486" max="9486" width="9.140625" customWidth="1"/>
    <col min="9487" max="9487" width="10" customWidth="1"/>
    <col min="9488" max="9488" width="8.28515625" customWidth="1"/>
    <col min="9731" max="9731" width="3.140625" customWidth="1"/>
    <col min="9732" max="9732" width="13.7109375" customWidth="1"/>
    <col min="9733" max="9733" width="14.5703125" customWidth="1"/>
    <col min="9734" max="9734" width="11.85546875" customWidth="1"/>
    <col min="9735" max="9735" width="9" customWidth="1"/>
    <col min="9736" max="9736" width="10" customWidth="1"/>
    <col min="9737" max="9737" width="9.85546875" customWidth="1"/>
    <col min="9739" max="9739" width="10.42578125" customWidth="1"/>
    <col min="9742" max="9742" width="9.140625" customWidth="1"/>
    <col min="9743" max="9743" width="10" customWidth="1"/>
    <col min="9744" max="9744" width="8.28515625" customWidth="1"/>
    <col min="9987" max="9987" width="3.140625" customWidth="1"/>
    <col min="9988" max="9988" width="13.7109375" customWidth="1"/>
    <col min="9989" max="9989" width="14.5703125" customWidth="1"/>
    <col min="9990" max="9990" width="11.85546875" customWidth="1"/>
    <col min="9991" max="9991" width="9" customWidth="1"/>
    <col min="9992" max="9992" width="10" customWidth="1"/>
    <col min="9993" max="9993" width="9.85546875" customWidth="1"/>
    <col min="9995" max="9995" width="10.42578125" customWidth="1"/>
    <col min="9998" max="9998" width="9.140625" customWidth="1"/>
    <col min="9999" max="9999" width="10" customWidth="1"/>
    <col min="10000" max="10000" width="8.28515625" customWidth="1"/>
    <col min="10243" max="10243" width="3.140625" customWidth="1"/>
    <col min="10244" max="10244" width="13.7109375" customWidth="1"/>
    <col min="10245" max="10245" width="14.5703125" customWidth="1"/>
    <col min="10246" max="10246" width="11.85546875" customWidth="1"/>
    <col min="10247" max="10247" width="9" customWidth="1"/>
    <col min="10248" max="10248" width="10" customWidth="1"/>
    <col min="10249" max="10249" width="9.85546875" customWidth="1"/>
    <col min="10251" max="10251" width="10.42578125" customWidth="1"/>
    <col min="10254" max="10254" width="9.140625" customWidth="1"/>
    <col min="10255" max="10255" width="10" customWidth="1"/>
    <col min="10256" max="10256" width="8.28515625" customWidth="1"/>
    <col min="10499" max="10499" width="3.140625" customWidth="1"/>
    <col min="10500" max="10500" width="13.7109375" customWidth="1"/>
    <col min="10501" max="10501" width="14.5703125" customWidth="1"/>
    <col min="10502" max="10502" width="11.85546875" customWidth="1"/>
    <col min="10503" max="10503" width="9" customWidth="1"/>
    <col min="10504" max="10504" width="10" customWidth="1"/>
    <col min="10505" max="10505" width="9.85546875" customWidth="1"/>
    <col min="10507" max="10507" width="10.42578125" customWidth="1"/>
    <col min="10510" max="10510" width="9.140625" customWidth="1"/>
    <col min="10511" max="10511" width="10" customWidth="1"/>
    <col min="10512" max="10512" width="8.28515625" customWidth="1"/>
    <col min="10755" max="10755" width="3.140625" customWidth="1"/>
    <col min="10756" max="10756" width="13.7109375" customWidth="1"/>
    <col min="10757" max="10757" width="14.5703125" customWidth="1"/>
    <col min="10758" max="10758" width="11.85546875" customWidth="1"/>
    <col min="10759" max="10759" width="9" customWidth="1"/>
    <col min="10760" max="10760" width="10" customWidth="1"/>
    <col min="10761" max="10761" width="9.85546875" customWidth="1"/>
    <col min="10763" max="10763" width="10.42578125" customWidth="1"/>
    <col min="10766" max="10766" width="9.140625" customWidth="1"/>
    <col min="10767" max="10767" width="10" customWidth="1"/>
    <col min="10768" max="10768" width="8.28515625" customWidth="1"/>
    <col min="11011" max="11011" width="3.140625" customWidth="1"/>
    <col min="11012" max="11012" width="13.7109375" customWidth="1"/>
    <col min="11013" max="11013" width="14.5703125" customWidth="1"/>
    <col min="11014" max="11014" width="11.85546875" customWidth="1"/>
    <col min="11015" max="11015" width="9" customWidth="1"/>
    <col min="11016" max="11016" width="10" customWidth="1"/>
    <col min="11017" max="11017" width="9.85546875" customWidth="1"/>
    <col min="11019" max="11019" width="10.42578125" customWidth="1"/>
    <col min="11022" max="11022" width="9.140625" customWidth="1"/>
    <col min="11023" max="11023" width="10" customWidth="1"/>
    <col min="11024" max="11024" width="8.28515625" customWidth="1"/>
    <col min="11267" max="11267" width="3.140625" customWidth="1"/>
    <col min="11268" max="11268" width="13.7109375" customWidth="1"/>
    <col min="11269" max="11269" width="14.5703125" customWidth="1"/>
    <col min="11270" max="11270" width="11.85546875" customWidth="1"/>
    <col min="11271" max="11271" width="9" customWidth="1"/>
    <col min="11272" max="11272" width="10" customWidth="1"/>
    <col min="11273" max="11273" width="9.85546875" customWidth="1"/>
    <col min="11275" max="11275" width="10.42578125" customWidth="1"/>
    <col min="11278" max="11278" width="9.140625" customWidth="1"/>
    <col min="11279" max="11279" width="10" customWidth="1"/>
    <col min="11280" max="11280" width="8.28515625" customWidth="1"/>
    <col min="11523" max="11523" width="3.140625" customWidth="1"/>
    <col min="11524" max="11524" width="13.7109375" customWidth="1"/>
    <col min="11525" max="11525" width="14.5703125" customWidth="1"/>
    <col min="11526" max="11526" width="11.85546875" customWidth="1"/>
    <col min="11527" max="11527" width="9" customWidth="1"/>
    <col min="11528" max="11528" width="10" customWidth="1"/>
    <col min="11529" max="11529" width="9.85546875" customWidth="1"/>
    <col min="11531" max="11531" width="10.42578125" customWidth="1"/>
    <col min="11534" max="11534" width="9.140625" customWidth="1"/>
    <col min="11535" max="11535" width="10" customWidth="1"/>
    <col min="11536" max="11536" width="8.28515625" customWidth="1"/>
    <col min="11779" max="11779" width="3.140625" customWidth="1"/>
    <col min="11780" max="11780" width="13.7109375" customWidth="1"/>
    <col min="11781" max="11781" width="14.5703125" customWidth="1"/>
    <col min="11782" max="11782" width="11.85546875" customWidth="1"/>
    <col min="11783" max="11783" width="9" customWidth="1"/>
    <col min="11784" max="11784" width="10" customWidth="1"/>
    <col min="11785" max="11785" width="9.85546875" customWidth="1"/>
    <col min="11787" max="11787" width="10.42578125" customWidth="1"/>
    <col min="11790" max="11790" width="9.140625" customWidth="1"/>
    <col min="11791" max="11791" width="10" customWidth="1"/>
    <col min="11792" max="11792" width="8.28515625" customWidth="1"/>
    <col min="12035" max="12035" width="3.140625" customWidth="1"/>
    <col min="12036" max="12036" width="13.7109375" customWidth="1"/>
    <col min="12037" max="12037" width="14.5703125" customWidth="1"/>
    <col min="12038" max="12038" width="11.85546875" customWidth="1"/>
    <col min="12039" max="12039" width="9" customWidth="1"/>
    <col min="12040" max="12040" width="10" customWidth="1"/>
    <col min="12041" max="12041" width="9.85546875" customWidth="1"/>
    <col min="12043" max="12043" width="10.42578125" customWidth="1"/>
    <col min="12046" max="12046" width="9.140625" customWidth="1"/>
    <col min="12047" max="12047" width="10" customWidth="1"/>
    <col min="12048" max="12048" width="8.28515625" customWidth="1"/>
    <col min="12291" max="12291" width="3.140625" customWidth="1"/>
    <col min="12292" max="12292" width="13.7109375" customWidth="1"/>
    <col min="12293" max="12293" width="14.5703125" customWidth="1"/>
    <col min="12294" max="12294" width="11.85546875" customWidth="1"/>
    <col min="12295" max="12295" width="9" customWidth="1"/>
    <col min="12296" max="12296" width="10" customWidth="1"/>
    <col min="12297" max="12297" width="9.85546875" customWidth="1"/>
    <col min="12299" max="12299" width="10.42578125" customWidth="1"/>
    <col min="12302" max="12302" width="9.140625" customWidth="1"/>
    <col min="12303" max="12303" width="10" customWidth="1"/>
    <col min="12304" max="12304" width="8.28515625" customWidth="1"/>
    <col min="12547" max="12547" width="3.140625" customWidth="1"/>
    <col min="12548" max="12548" width="13.7109375" customWidth="1"/>
    <col min="12549" max="12549" width="14.5703125" customWidth="1"/>
    <col min="12550" max="12550" width="11.85546875" customWidth="1"/>
    <col min="12551" max="12551" width="9" customWidth="1"/>
    <col min="12552" max="12552" width="10" customWidth="1"/>
    <col min="12553" max="12553" width="9.85546875" customWidth="1"/>
    <col min="12555" max="12555" width="10.42578125" customWidth="1"/>
    <col min="12558" max="12558" width="9.140625" customWidth="1"/>
    <col min="12559" max="12559" width="10" customWidth="1"/>
    <col min="12560" max="12560" width="8.28515625" customWidth="1"/>
    <col min="12803" max="12803" width="3.140625" customWidth="1"/>
    <col min="12804" max="12804" width="13.7109375" customWidth="1"/>
    <col min="12805" max="12805" width="14.5703125" customWidth="1"/>
    <col min="12806" max="12806" width="11.85546875" customWidth="1"/>
    <col min="12807" max="12807" width="9" customWidth="1"/>
    <col min="12808" max="12808" width="10" customWidth="1"/>
    <col min="12809" max="12809" width="9.85546875" customWidth="1"/>
    <col min="12811" max="12811" width="10.42578125" customWidth="1"/>
    <col min="12814" max="12814" width="9.140625" customWidth="1"/>
    <col min="12815" max="12815" width="10" customWidth="1"/>
    <col min="12816" max="12816" width="8.28515625" customWidth="1"/>
    <col min="13059" max="13059" width="3.140625" customWidth="1"/>
    <col min="13060" max="13060" width="13.7109375" customWidth="1"/>
    <col min="13061" max="13061" width="14.5703125" customWidth="1"/>
    <col min="13062" max="13062" width="11.85546875" customWidth="1"/>
    <col min="13063" max="13063" width="9" customWidth="1"/>
    <col min="13064" max="13064" width="10" customWidth="1"/>
    <col min="13065" max="13065" width="9.85546875" customWidth="1"/>
    <col min="13067" max="13067" width="10.42578125" customWidth="1"/>
    <col min="13070" max="13070" width="9.140625" customWidth="1"/>
    <col min="13071" max="13071" width="10" customWidth="1"/>
    <col min="13072" max="13072" width="8.28515625" customWidth="1"/>
    <col min="13315" max="13315" width="3.140625" customWidth="1"/>
    <col min="13316" max="13316" width="13.7109375" customWidth="1"/>
    <col min="13317" max="13317" width="14.5703125" customWidth="1"/>
    <col min="13318" max="13318" width="11.85546875" customWidth="1"/>
    <col min="13319" max="13319" width="9" customWidth="1"/>
    <col min="13320" max="13320" width="10" customWidth="1"/>
    <col min="13321" max="13321" width="9.85546875" customWidth="1"/>
    <col min="13323" max="13323" width="10.42578125" customWidth="1"/>
    <col min="13326" max="13326" width="9.140625" customWidth="1"/>
    <col min="13327" max="13327" width="10" customWidth="1"/>
    <col min="13328" max="13328" width="8.28515625" customWidth="1"/>
    <col min="13571" max="13571" width="3.140625" customWidth="1"/>
    <col min="13572" max="13572" width="13.7109375" customWidth="1"/>
    <col min="13573" max="13573" width="14.5703125" customWidth="1"/>
    <col min="13574" max="13574" width="11.85546875" customWidth="1"/>
    <col min="13575" max="13575" width="9" customWidth="1"/>
    <col min="13576" max="13576" width="10" customWidth="1"/>
    <col min="13577" max="13577" width="9.85546875" customWidth="1"/>
    <col min="13579" max="13579" width="10.42578125" customWidth="1"/>
    <col min="13582" max="13582" width="9.140625" customWidth="1"/>
    <col min="13583" max="13583" width="10" customWidth="1"/>
    <col min="13584" max="13584" width="8.28515625" customWidth="1"/>
    <col min="13827" max="13827" width="3.140625" customWidth="1"/>
    <col min="13828" max="13828" width="13.7109375" customWidth="1"/>
    <col min="13829" max="13829" width="14.5703125" customWidth="1"/>
    <col min="13830" max="13830" width="11.85546875" customWidth="1"/>
    <col min="13831" max="13831" width="9" customWidth="1"/>
    <col min="13832" max="13832" width="10" customWidth="1"/>
    <col min="13833" max="13833" width="9.85546875" customWidth="1"/>
    <col min="13835" max="13835" width="10.42578125" customWidth="1"/>
    <col min="13838" max="13838" width="9.140625" customWidth="1"/>
    <col min="13839" max="13839" width="10" customWidth="1"/>
    <col min="13840" max="13840" width="8.28515625" customWidth="1"/>
    <col min="14083" max="14083" width="3.140625" customWidth="1"/>
    <col min="14084" max="14084" width="13.7109375" customWidth="1"/>
    <col min="14085" max="14085" width="14.5703125" customWidth="1"/>
    <col min="14086" max="14086" width="11.85546875" customWidth="1"/>
    <col min="14087" max="14087" width="9" customWidth="1"/>
    <col min="14088" max="14088" width="10" customWidth="1"/>
    <col min="14089" max="14089" width="9.85546875" customWidth="1"/>
    <col min="14091" max="14091" width="10.42578125" customWidth="1"/>
    <col min="14094" max="14094" width="9.140625" customWidth="1"/>
    <col min="14095" max="14095" width="10" customWidth="1"/>
    <col min="14096" max="14096" width="8.28515625" customWidth="1"/>
    <col min="14339" max="14339" width="3.140625" customWidth="1"/>
    <col min="14340" max="14340" width="13.7109375" customWidth="1"/>
    <col min="14341" max="14341" width="14.5703125" customWidth="1"/>
    <col min="14342" max="14342" width="11.85546875" customWidth="1"/>
    <col min="14343" max="14343" width="9" customWidth="1"/>
    <col min="14344" max="14344" width="10" customWidth="1"/>
    <col min="14345" max="14345" width="9.85546875" customWidth="1"/>
    <col min="14347" max="14347" width="10.42578125" customWidth="1"/>
    <col min="14350" max="14350" width="9.140625" customWidth="1"/>
    <col min="14351" max="14351" width="10" customWidth="1"/>
    <col min="14352" max="14352" width="8.28515625" customWidth="1"/>
    <col min="14595" max="14595" width="3.140625" customWidth="1"/>
    <col min="14596" max="14596" width="13.7109375" customWidth="1"/>
    <col min="14597" max="14597" width="14.5703125" customWidth="1"/>
    <col min="14598" max="14598" width="11.85546875" customWidth="1"/>
    <col min="14599" max="14599" width="9" customWidth="1"/>
    <col min="14600" max="14600" width="10" customWidth="1"/>
    <col min="14601" max="14601" width="9.85546875" customWidth="1"/>
    <col min="14603" max="14603" width="10.42578125" customWidth="1"/>
    <col min="14606" max="14606" width="9.140625" customWidth="1"/>
    <col min="14607" max="14607" width="10" customWidth="1"/>
    <col min="14608" max="14608" width="8.28515625" customWidth="1"/>
    <col min="14851" max="14851" width="3.140625" customWidth="1"/>
    <col min="14852" max="14852" width="13.7109375" customWidth="1"/>
    <col min="14853" max="14853" width="14.5703125" customWidth="1"/>
    <col min="14854" max="14854" width="11.85546875" customWidth="1"/>
    <col min="14855" max="14855" width="9" customWidth="1"/>
    <col min="14856" max="14856" width="10" customWidth="1"/>
    <col min="14857" max="14857" width="9.85546875" customWidth="1"/>
    <col min="14859" max="14859" width="10.42578125" customWidth="1"/>
    <col min="14862" max="14862" width="9.140625" customWidth="1"/>
    <col min="14863" max="14863" width="10" customWidth="1"/>
    <col min="14864" max="14864" width="8.28515625" customWidth="1"/>
    <col min="15107" max="15107" width="3.140625" customWidth="1"/>
    <col min="15108" max="15108" width="13.7109375" customWidth="1"/>
    <col min="15109" max="15109" width="14.5703125" customWidth="1"/>
    <col min="15110" max="15110" width="11.85546875" customWidth="1"/>
    <col min="15111" max="15111" width="9" customWidth="1"/>
    <col min="15112" max="15112" width="10" customWidth="1"/>
    <col min="15113" max="15113" width="9.85546875" customWidth="1"/>
    <col min="15115" max="15115" width="10.42578125" customWidth="1"/>
    <col min="15118" max="15118" width="9.140625" customWidth="1"/>
    <col min="15119" max="15119" width="10" customWidth="1"/>
    <col min="15120" max="15120" width="8.28515625" customWidth="1"/>
    <col min="15363" max="15363" width="3.140625" customWidth="1"/>
    <col min="15364" max="15364" width="13.7109375" customWidth="1"/>
    <col min="15365" max="15365" width="14.5703125" customWidth="1"/>
    <col min="15366" max="15366" width="11.85546875" customWidth="1"/>
    <col min="15367" max="15367" width="9" customWidth="1"/>
    <col min="15368" max="15368" width="10" customWidth="1"/>
    <col min="15369" max="15369" width="9.85546875" customWidth="1"/>
    <col min="15371" max="15371" width="10.42578125" customWidth="1"/>
    <col min="15374" max="15374" width="9.140625" customWidth="1"/>
    <col min="15375" max="15375" width="10" customWidth="1"/>
    <col min="15376" max="15376" width="8.28515625" customWidth="1"/>
    <col min="15619" max="15619" width="3.140625" customWidth="1"/>
    <col min="15620" max="15620" width="13.7109375" customWidth="1"/>
    <col min="15621" max="15621" width="14.5703125" customWidth="1"/>
    <col min="15622" max="15622" width="11.85546875" customWidth="1"/>
    <col min="15623" max="15623" width="9" customWidth="1"/>
    <col min="15624" max="15624" width="10" customWidth="1"/>
    <col min="15625" max="15625" width="9.85546875" customWidth="1"/>
    <col min="15627" max="15627" width="10.42578125" customWidth="1"/>
    <col min="15630" max="15630" width="9.140625" customWidth="1"/>
    <col min="15631" max="15631" width="10" customWidth="1"/>
    <col min="15632" max="15632" width="8.28515625" customWidth="1"/>
    <col min="15875" max="15875" width="3.140625" customWidth="1"/>
    <col min="15876" max="15876" width="13.7109375" customWidth="1"/>
    <col min="15877" max="15877" width="14.5703125" customWidth="1"/>
    <col min="15878" max="15878" width="11.85546875" customWidth="1"/>
    <col min="15879" max="15879" width="9" customWidth="1"/>
    <col min="15880" max="15880" width="10" customWidth="1"/>
    <col min="15881" max="15881" width="9.85546875" customWidth="1"/>
    <col min="15883" max="15883" width="10.42578125" customWidth="1"/>
    <col min="15886" max="15886" width="9.140625" customWidth="1"/>
    <col min="15887" max="15887" width="10" customWidth="1"/>
    <col min="15888" max="15888" width="8.28515625" customWidth="1"/>
    <col min="16131" max="16131" width="3.140625" customWidth="1"/>
    <col min="16132" max="16132" width="13.7109375" customWidth="1"/>
    <col min="16133" max="16133" width="14.5703125" customWidth="1"/>
    <col min="16134" max="16134" width="11.85546875" customWidth="1"/>
    <col min="16135" max="16135" width="9" customWidth="1"/>
    <col min="16136" max="16136" width="10" customWidth="1"/>
    <col min="16137" max="16137" width="9.85546875" customWidth="1"/>
    <col min="16139" max="16139" width="10.42578125" customWidth="1"/>
    <col min="16142" max="16142" width="9.140625" customWidth="1"/>
    <col min="16143" max="16143" width="10" customWidth="1"/>
    <col min="16144" max="16144" width="8.28515625" customWidth="1"/>
  </cols>
  <sheetData>
    <row r="1" spans="2:34" ht="7.5" customHeight="1" thickBot="1"/>
    <row r="2" spans="2:34" ht="17.25" thickTop="1" thickBot="1">
      <c r="B2" s="1" t="s">
        <v>0</v>
      </c>
      <c r="C2" s="2"/>
      <c r="D2" s="2"/>
      <c r="E2" s="3" t="s">
        <v>310</v>
      </c>
      <c r="F2" s="4"/>
      <c r="G2" s="5" t="s">
        <v>1</v>
      </c>
      <c r="H2" s="6" t="s">
        <v>2</v>
      </c>
      <c r="I2" s="6"/>
      <c r="J2" s="6"/>
      <c r="K2" s="6"/>
      <c r="L2" s="6"/>
      <c r="M2" s="6"/>
      <c r="N2" s="6"/>
      <c r="O2" s="7"/>
      <c r="Y2" s="8" t="e">
        <f>#REF!</f>
        <v>#REF!</v>
      </c>
      <c r="AB2" s="8" t="s">
        <v>3</v>
      </c>
      <c r="AD2" s="8" t="s">
        <v>4</v>
      </c>
      <c r="AF2" s="8" t="s">
        <v>5</v>
      </c>
      <c r="AH2" s="9" t="s">
        <v>6</v>
      </c>
    </row>
    <row r="3" spans="2:34" ht="16.5" thickBot="1">
      <c r="B3" s="10" t="s">
        <v>7</v>
      </c>
      <c r="C3" s="11"/>
      <c r="D3" s="12"/>
      <c r="E3" s="13"/>
      <c r="Y3" t="s">
        <v>8</v>
      </c>
      <c r="AB3" t="s">
        <v>9</v>
      </c>
      <c r="AD3" t="s">
        <v>10</v>
      </c>
      <c r="AF3" t="s">
        <v>11</v>
      </c>
      <c r="AH3" s="9" t="s">
        <v>12</v>
      </c>
    </row>
    <row r="4" spans="2:34" ht="8.25" customHeight="1" thickTop="1">
      <c r="B4" s="14"/>
      <c r="C4" s="15"/>
      <c r="D4" s="14"/>
      <c r="E4" s="16"/>
      <c r="AB4" t="s">
        <v>13</v>
      </c>
      <c r="AD4" t="s">
        <v>14</v>
      </c>
      <c r="AF4" t="s">
        <v>15</v>
      </c>
      <c r="AH4" s="9" t="s">
        <v>16</v>
      </c>
    </row>
    <row r="5" spans="2:34" ht="15.75" thickBot="1">
      <c r="C5" s="17" t="s">
        <v>17</v>
      </c>
      <c r="D5" s="17"/>
      <c r="E5" s="18"/>
      <c r="F5" s="18"/>
      <c r="H5" s="19" t="s">
        <v>18</v>
      </c>
      <c r="I5" s="20"/>
      <c r="J5" s="20"/>
      <c r="K5" s="20"/>
      <c r="M5" s="21" t="s">
        <v>19</v>
      </c>
      <c r="Y5" t="s">
        <v>20</v>
      </c>
      <c r="Z5" s="22">
        <f>15.6/(4*12)</f>
        <v>0.32500000000000001</v>
      </c>
      <c r="AH5" s="9"/>
    </row>
    <row r="6" spans="2:34" ht="15.75" thickBot="1">
      <c r="B6" s="8" t="s">
        <v>21</v>
      </c>
      <c r="C6" t="s">
        <v>22</v>
      </c>
      <c r="D6" s="301">
        <v>15</v>
      </c>
      <c r="E6" s="23">
        <f>D6*sqft_ac</f>
        <v>653400</v>
      </c>
      <c r="F6" t="s">
        <v>23</v>
      </c>
      <c r="H6" s="24"/>
      <c r="I6" s="23" t="s">
        <v>24</v>
      </c>
      <c r="J6" s="25" t="s">
        <v>25</v>
      </c>
      <c r="K6" s="26" t="s">
        <v>13</v>
      </c>
      <c r="M6" s="27">
        <f>IF(H6="",E6,IF(K6=$AB$3,H6*sqft_ac,E6))</f>
        <v>653400</v>
      </c>
      <c r="N6" t="s">
        <v>23</v>
      </c>
      <c r="Y6" t="s">
        <v>26</v>
      </c>
      <c r="AB6" t="s">
        <v>309</v>
      </c>
      <c r="AD6" t="s">
        <v>27</v>
      </c>
      <c r="AF6" s="9" t="s">
        <v>28</v>
      </c>
      <c r="AG6">
        <v>1</v>
      </c>
    </row>
    <row r="7" spans="2:34" ht="15.75" thickBot="1">
      <c r="B7" s="8"/>
      <c r="M7" s="28"/>
      <c r="Y7" t="s">
        <v>29</v>
      </c>
      <c r="AB7" t="s">
        <v>30</v>
      </c>
      <c r="AD7" s="9" t="s">
        <v>31</v>
      </c>
      <c r="AF7" s="9" t="s">
        <v>32</v>
      </c>
      <c r="AG7">
        <v>2</v>
      </c>
    </row>
    <row r="8" spans="2:34">
      <c r="C8" t="s">
        <v>33</v>
      </c>
      <c r="D8" s="29" t="s">
        <v>34</v>
      </c>
      <c r="E8" s="30">
        <f>12*VLOOKUP(D8,Y34:Z43,2,FALSE)</f>
        <v>24</v>
      </c>
      <c r="F8" s="31" t="s">
        <v>35</v>
      </c>
      <c r="G8" s="32" t="s">
        <v>36</v>
      </c>
      <c r="H8" s="33"/>
      <c r="I8" s="31" t="s">
        <v>35</v>
      </c>
      <c r="J8" s="25" t="s">
        <v>25</v>
      </c>
      <c r="K8" s="26" t="s">
        <v>13</v>
      </c>
      <c r="M8" s="27">
        <f>IF(H8="",E8,IF(K8=$AB$3,H8,E8))/12</f>
        <v>2</v>
      </c>
      <c r="N8" t="s">
        <v>37</v>
      </c>
      <c r="Y8" t="s">
        <v>38</v>
      </c>
    </row>
    <row r="9" spans="2:34">
      <c r="C9" t="s">
        <v>39</v>
      </c>
      <c r="D9" s="34" t="s">
        <v>40</v>
      </c>
      <c r="E9" s="35">
        <f>VLOOKUP(D9,Z53:AA61,2,FALSE)</f>
        <v>2</v>
      </c>
      <c r="F9" s="36" t="s">
        <v>41</v>
      </c>
      <c r="G9" s="32" t="s">
        <v>36</v>
      </c>
      <c r="H9" s="37"/>
      <c r="I9" s="36" t="s">
        <v>42</v>
      </c>
      <c r="J9" s="25" t="s">
        <v>25</v>
      </c>
      <c r="K9" s="26" t="s">
        <v>13</v>
      </c>
      <c r="M9" s="27">
        <f>IF(H9="",E9,IF(K9=$AB$3,H9,E9))</f>
        <v>2</v>
      </c>
      <c r="N9" t="s">
        <v>42</v>
      </c>
      <c r="Y9" t="s">
        <v>43</v>
      </c>
      <c r="AB9">
        <f>IF(I32=AB6,IF('[1]Furrow Snapshot'!F31&gt;'[1]Furrow Snapshot'!F29/3,99,0),0)</f>
        <v>0</v>
      </c>
    </row>
    <row r="10" spans="2:34">
      <c r="C10" t="s">
        <v>44</v>
      </c>
      <c r="D10" s="38">
        <f>IF(H9="",E9*M8,IF(K9=AB3,H9*M8,E9*M8))</f>
        <v>4</v>
      </c>
      <c r="E10" s="39" t="s">
        <v>45</v>
      </c>
      <c r="F10" s="36"/>
      <c r="H10" s="37"/>
      <c r="I10" s="36"/>
      <c r="K10" s="40"/>
      <c r="M10" s="27"/>
      <c r="Y10" t="s">
        <v>46</v>
      </c>
    </row>
    <row r="11" spans="2:34">
      <c r="C11" t="s">
        <v>47</v>
      </c>
      <c r="D11" s="41">
        <v>20</v>
      </c>
      <c r="E11" s="39" t="s">
        <v>48</v>
      </c>
      <c r="F11" s="36">
        <f>E8/12*E9*(100-D11)/100</f>
        <v>3.2</v>
      </c>
      <c r="H11" s="282"/>
      <c r="I11" s="36"/>
      <c r="K11" s="42"/>
      <c r="M11" s="28"/>
    </row>
    <row r="12" spans="2:34" ht="15.75" thickBot="1">
      <c r="C12" t="s">
        <v>49</v>
      </c>
      <c r="D12" s="38">
        <f>VLOOKUP(D8,Y34:AB43,4,FALSE)</f>
        <v>50</v>
      </c>
      <c r="E12" s="39" t="s">
        <v>48</v>
      </c>
      <c r="F12" s="36">
        <f>E8/12*E9*(100-D12)/100</f>
        <v>2</v>
      </c>
      <c r="G12" s="32" t="s">
        <v>36</v>
      </c>
      <c r="H12" s="43"/>
      <c r="I12" s="44" t="s">
        <v>48</v>
      </c>
      <c r="J12" s="25" t="s">
        <v>25</v>
      </c>
      <c r="K12" s="26" t="s">
        <v>13</v>
      </c>
      <c r="M12" s="27">
        <f>IF(H12="",D12,IF(K12=$AB$3,H12,D12))</f>
        <v>50</v>
      </c>
      <c r="N12" t="s">
        <v>48</v>
      </c>
      <c r="Y12" s="45" t="s">
        <v>50</v>
      </c>
      <c r="AB12">
        <f>HLOOKUP(F17,Z13:AE22,AF12,FALSE)</f>
        <v>7.5</v>
      </c>
      <c r="AF12">
        <f>VLOOKUP(F16,Y16:AF22,8,FALSE)</f>
        <v>5</v>
      </c>
    </row>
    <row r="13" spans="2:34" ht="15.75" thickBot="1">
      <c r="C13" t="s">
        <v>51</v>
      </c>
      <c r="D13" s="46">
        <f>IF(H12="",D12/100*D10,IF(K12=AB3,H12/100*D10,D12/100*D10))</f>
        <v>2</v>
      </c>
      <c r="E13" s="47" t="s">
        <v>45</v>
      </c>
      <c r="F13" s="48"/>
      <c r="M13" s="28"/>
      <c r="Y13" s="49" t="s">
        <v>52</v>
      </c>
      <c r="Z13" s="50">
        <v>2</v>
      </c>
      <c r="AA13" s="50">
        <v>4</v>
      </c>
      <c r="AB13" s="50">
        <v>6</v>
      </c>
      <c r="AC13" s="50">
        <v>8</v>
      </c>
      <c r="AD13" s="50">
        <v>10</v>
      </c>
      <c r="AE13" s="50">
        <v>12</v>
      </c>
    </row>
    <row r="14" spans="2:34" ht="6" customHeight="1" thickBot="1">
      <c r="D14" s="51"/>
      <c r="E14" s="16"/>
      <c r="F14" s="16"/>
      <c r="M14" s="52"/>
      <c r="Y14" s="49"/>
      <c r="Z14" s="50"/>
      <c r="AA14" s="50"/>
      <c r="AB14" s="50"/>
      <c r="AC14" s="50"/>
      <c r="AD14" s="50"/>
      <c r="AE14" s="50"/>
    </row>
    <row r="15" spans="2:34" ht="15.75" thickBot="1">
      <c r="B15" s="8" t="s">
        <v>53</v>
      </c>
      <c r="D15" s="51"/>
      <c r="E15" s="16"/>
      <c r="F15" s="16"/>
      <c r="M15" s="52"/>
      <c r="Q15" s="314" t="s">
        <v>313</v>
      </c>
      <c r="R15" s="315"/>
      <c r="S15" s="315"/>
      <c r="T15" s="316"/>
      <c r="Y15" s="49"/>
      <c r="Z15" s="50"/>
      <c r="AA15" s="50"/>
      <c r="AB15" s="50"/>
      <c r="AC15" s="50"/>
      <c r="AD15" s="50"/>
      <c r="AE15" s="50"/>
    </row>
    <row r="16" spans="2:34">
      <c r="C16" s="53" t="s">
        <v>54</v>
      </c>
      <c r="D16" s="54" t="s">
        <v>11</v>
      </c>
      <c r="E16" s="55" t="str">
        <f>IF(D16=AF4,"tube dia (in):","")</f>
        <v/>
      </c>
      <c r="F16" s="56">
        <v>1.5</v>
      </c>
      <c r="M16" s="302">
        <f>IF(D17="","n/a",IF(D17=AD6,TotQ,IF(D17=AD7,IF(D16=AF3,Snapshot!D30*Field!C28/Snapshot!D29,AB12*C28),"")))</f>
        <v>400</v>
      </c>
      <c r="N16" t="s">
        <v>302</v>
      </c>
      <c r="Q16" s="317"/>
      <c r="R16" s="318"/>
      <c r="S16" s="318"/>
      <c r="T16" s="319"/>
      <c r="Y16" s="57">
        <v>0.75</v>
      </c>
      <c r="Z16" s="58">
        <v>3</v>
      </c>
      <c r="AA16" s="59">
        <v>5</v>
      </c>
      <c r="AB16" s="59">
        <v>6</v>
      </c>
      <c r="AC16" s="59">
        <v>7</v>
      </c>
      <c r="AD16" s="59">
        <v>8</v>
      </c>
      <c r="AE16" s="60">
        <v>8.5</v>
      </c>
      <c r="AF16">
        <v>2</v>
      </c>
    </row>
    <row r="17" spans="2:37">
      <c r="C17" s="9" t="s">
        <v>55</v>
      </c>
      <c r="D17" s="61" t="s">
        <v>27</v>
      </c>
      <c r="E17" s="62" t="str">
        <f>IF(G23=AF5,"tube h (in):","")</f>
        <v>tube h (in):</v>
      </c>
      <c r="F17" s="63">
        <v>4</v>
      </c>
      <c r="K17" s="64"/>
      <c r="M17" s="302">
        <f>IF(D18="","n/a",IF(D18=AH2,IF(Snapshot!E30=0,"",Snapshot!E30*Field!C28/Snapshot!E29),IF(Field!D18=Field!AH3,C22,"")))</f>
        <v>350</v>
      </c>
      <c r="N17" t="s">
        <v>303</v>
      </c>
      <c r="Q17" s="317"/>
      <c r="R17" s="318"/>
      <c r="S17" s="318"/>
      <c r="T17" s="319"/>
      <c r="Y17" s="65">
        <v>1</v>
      </c>
      <c r="Z17" s="66">
        <v>5</v>
      </c>
      <c r="AA17" s="67">
        <v>7.5</v>
      </c>
      <c r="AB17" s="68">
        <v>9</v>
      </c>
      <c r="AC17" s="68">
        <v>11</v>
      </c>
      <c r="AD17" s="68">
        <v>12</v>
      </c>
      <c r="AE17" s="69">
        <v>13</v>
      </c>
      <c r="AF17">
        <v>3</v>
      </c>
    </row>
    <row r="18" spans="2:37" ht="15.75" thickBot="1">
      <c r="C18" s="53" t="s">
        <v>56</v>
      </c>
      <c r="D18" s="70" t="s">
        <v>12</v>
      </c>
      <c r="E18" s="47"/>
      <c r="F18" s="48"/>
      <c r="M18" s="302">
        <f>IF(M16="","n/a",IF(M17="",M16,M16-M17))</f>
        <v>50</v>
      </c>
      <c r="N18" t="s">
        <v>306</v>
      </c>
      <c r="Q18" s="320"/>
      <c r="R18" s="321"/>
      <c r="S18" s="321"/>
      <c r="T18" s="322"/>
      <c r="Y18" s="65">
        <v>1.25</v>
      </c>
      <c r="Z18" s="66">
        <v>7</v>
      </c>
      <c r="AA18" s="68">
        <v>10</v>
      </c>
      <c r="AB18" s="68">
        <v>13</v>
      </c>
      <c r="AC18" s="68">
        <v>16</v>
      </c>
      <c r="AD18" s="68">
        <v>18</v>
      </c>
      <c r="AE18" s="69">
        <v>20</v>
      </c>
      <c r="AF18">
        <v>4</v>
      </c>
    </row>
    <row r="19" spans="2:37" ht="6" customHeight="1">
      <c r="C19" s="53"/>
      <c r="M19" s="52"/>
      <c r="Y19" s="65">
        <v>1.5</v>
      </c>
      <c r="Z19" s="66">
        <v>11.5</v>
      </c>
      <c r="AA19" s="68">
        <v>16</v>
      </c>
      <c r="AB19" s="68">
        <v>20</v>
      </c>
      <c r="AC19" s="68">
        <v>22.5</v>
      </c>
      <c r="AD19" s="68">
        <v>25</v>
      </c>
      <c r="AE19" s="69">
        <v>27.5</v>
      </c>
      <c r="AF19">
        <v>5</v>
      </c>
    </row>
    <row r="20" spans="2:37" ht="15.75" thickBot="1">
      <c r="B20" s="8" t="s">
        <v>57</v>
      </c>
      <c r="Y20" s="65">
        <v>2</v>
      </c>
      <c r="Z20" s="66">
        <v>20</v>
      </c>
      <c r="AA20" s="68">
        <v>28.5</v>
      </c>
      <c r="AB20" s="68">
        <v>24.5</v>
      </c>
      <c r="AC20" s="68">
        <v>40</v>
      </c>
      <c r="AD20" s="68">
        <v>44.5</v>
      </c>
      <c r="AE20" s="69">
        <v>48.5</v>
      </c>
      <c r="AF20">
        <v>6</v>
      </c>
    </row>
    <row r="21" spans="2:37">
      <c r="C21" s="71">
        <v>400</v>
      </c>
      <c r="D21" s="72" t="s">
        <v>10</v>
      </c>
      <c r="E21" s="73" t="s">
        <v>58</v>
      </c>
      <c r="F21" s="74"/>
      <c r="G21" s="16"/>
      <c r="H21" s="52"/>
      <c r="I21" s="75"/>
      <c r="J21" s="39"/>
      <c r="K21" s="52"/>
      <c r="M21" s="52"/>
      <c r="Y21" s="65">
        <v>2.5</v>
      </c>
      <c r="Z21" s="66">
        <v>31</v>
      </c>
      <c r="AA21" s="68">
        <v>44</v>
      </c>
      <c r="AB21" s="68">
        <v>53</v>
      </c>
      <c r="AC21" s="68">
        <v>61</v>
      </c>
      <c r="AD21" s="68">
        <v>68</v>
      </c>
      <c r="AE21" s="69">
        <v>73</v>
      </c>
      <c r="AF21">
        <v>7</v>
      </c>
    </row>
    <row r="22" spans="2:37" ht="15.75" thickBot="1">
      <c r="C22" s="76">
        <v>350</v>
      </c>
      <c r="D22" s="77" t="s">
        <v>10</v>
      </c>
      <c r="E22" s="78" t="s">
        <v>59</v>
      </c>
      <c r="F22" s="79"/>
      <c r="G22" s="16"/>
      <c r="Y22" s="65">
        <v>3</v>
      </c>
      <c r="Z22" s="80">
        <v>45</v>
      </c>
      <c r="AA22" s="81">
        <v>62</v>
      </c>
      <c r="AB22" s="81">
        <v>76</v>
      </c>
      <c r="AC22" s="81">
        <v>88</v>
      </c>
      <c r="AD22" s="81">
        <v>99</v>
      </c>
      <c r="AE22" s="82">
        <v>107</v>
      </c>
      <c r="AF22">
        <v>8</v>
      </c>
    </row>
    <row r="23" spans="2:37" ht="15.75" thickBot="1">
      <c r="C23" s="41">
        <v>24</v>
      </c>
      <c r="D23" s="16" t="s">
        <v>60</v>
      </c>
      <c r="E23" s="16"/>
      <c r="F23" s="83"/>
      <c r="G23" s="16"/>
      <c r="Y23" s="84" t="s">
        <v>61</v>
      </c>
      <c r="Z23" s="84"/>
      <c r="AA23" s="84"/>
      <c r="AB23" s="84"/>
      <c r="AC23" s="84"/>
      <c r="AD23" s="84"/>
    </row>
    <row r="24" spans="2:37" ht="15.75" thickBot="1">
      <c r="C24" s="85">
        <v>8</v>
      </c>
      <c r="D24" s="16" t="s">
        <v>62</v>
      </c>
      <c r="E24" s="86"/>
      <c r="F24" s="83"/>
      <c r="G24" s="16"/>
      <c r="H24" t="s">
        <v>307</v>
      </c>
      <c r="I24" s="284">
        <v>20</v>
      </c>
      <c r="J24" s="259" t="s">
        <v>308</v>
      </c>
      <c r="Y24" s="84"/>
      <c r="Z24" s="84"/>
      <c r="AA24" s="84"/>
      <c r="AB24" s="84"/>
      <c r="AC24" s="84"/>
      <c r="AD24" s="84"/>
    </row>
    <row r="25" spans="2:37" ht="15.75" thickBot="1">
      <c r="C25" s="41">
        <v>30</v>
      </c>
      <c r="D25" s="78" t="s">
        <v>63</v>
      </c>
      <c r="E25" s="16"/>
      <c r="F25" s="83"/>
      <c r="G25" s="16"/>
      <c r="Y25" s="84"/>
      <c r="Z25" s="84"/>
      <c r="AA25" s="84"/>
      <c r="AB25" s="84"/>
      <c r="AC25" s="84"/>
      <c r="AD25" s="84"/>
    </row>
    <row r="26" spans="2:37" ht="15.75" thickBot="1">
      <c r="C26" s="34" t="s">
        <v>32</v>
      </c>
      <c r="D26" s="53" t="s">
        <v>64</v>
      </c>
      <c r="E26" s="16"/>
      <c r="F26" s="83"/>
      <c r="G26" s="16"/>
      <c r="I26" s="283">
        <f>IF(C26="","",IF(C26=AF6,1,0.5))</f>
        <v>0.5</v>
      </c>
      <c r="J26" t="s">
        <v>312</v>
      </c>
      <c r="Y26" s="84"/>
      <c r="Z26" s="84"/>
      <c r="AA26" s="84"/>
      <c r="AB26" s="84"/>
      <c r="AC26" s="84"/>
      <c r="AD26" s="84"/>
    </row>
    <row r="27" spans="2:37">
      <c r="C27" s="41">
        <v>100</v>
      </c>
      <c r="D27" s="16" t="s">
        <v>65</v>
      </c>
      <c r="E27" s="16"/>
      <c r="F27" s="83"/>
      <c r="G27" s="16"/>
    </row>
    <row r="28" spans="2:37">
      <c r="C28" s="41">
        <v>60</v>
      </c>
      <c r="D28" s="16" t="s">
        <v>66</v>
      </c>
      <c r="E28" s="16"/>
      <c r="F28" s="83"/>
      <c r="Y28" s="87" t="s">
        <v>67</v>
      </c>
    </row>
    <row r="29" spans="2:37" ht="15.75" thickBot="1">
      <c r="C29" s="88">
        <v>670</v>
      </c>
      <c r="D29" s="47" t="s">
        <v>68</v>
      </c>
      <c r="E29" s="47"/>
      <c r="F29" s="48"/>
      <c r="Y29" s="89" t="s">
        <v>69</v>
      </c>
    </row>
    <row r="30" spans="2:37" ht="5.25" customHeight="1">
      <c r="Y30" s="90" t="s">
        <v>70</v>
      </c>
    </row>
    <row r="31" spans="2:37" ht="15.75" thickBot="1">
      <c r="B31" s="8" t="s">
        <v>71</v>
      </c>
      <c r="G31" s="39"/>
      <c r="H31" s="39"/>
      <c r="I31" s="39"/>
      <c r="J31" s="39"/>
      <c r="Y31" s="90"/>
    </row>
    <row r="32" spans="2:37" ht="14.25" customHeight="1" thickTop="1">
      <c r="C32" s="91">
        <f>((M16*(C23-C24)*60)+(M16*C24*60/(1-(I24/100))))/(C25/12*C28*C29)*Conversions!B2/Conversions!B6*I26</f>
        <v>4.9801001684047863</v>
      </c>
      <c r="D32" s="92" t="s">
        <v>72</v>
      </c>
      <c r="E32" s="92"/>
      <c r="F32" s="93"/>
      <c r="G32" s="39"/>
      <c r="H32" s="274"/>
      <c r="I32" s="275"/>
      <c r="J32" s="39"/>
      <c r="Y32" s="305" t="s">
        <v>33</v>
      </c>
      <c r="Z32" s="94" t="s">
        <v>73</v>
      </c>
      <c r="AA32" s="94" t="s">
        <v>74</v>
      </c>
      <c r="AB32" s="95" t="s">
        <v>75</v>
      </c>
      <c r="AC32" s="96" t="s">
        <v>76</v>
      </c>
      <c r="AD32" s="9" t="str">
        <f>IF(D8=Y34,"yes",IF(D8=Y35,"yes","no"))</f>
        <v>yes</v>
      </c>
      <c r="AG32" s="52"/>
      <c r="AH32" s="260"/>
      <c r="AI32" s="52"/>
      <c r="AJ32" s="52"/>
      <c r="AK32" s="52"/>
    </row>
    <row r="33" spans="2:37" ht="12.75" customHeight="1" thickBot="1">
      <c r="C33" s="97">
        <f>IF(M17&lt;&gt;"",IF(M17="n/a","N/A",M17*(C23-C24)*60/(C25/12/I26*C28*C29)*Conversions!B2/Conversions!B6),"N/A")</f>
        <v>2.6815923983718077</v>
      </c>
      <c r="D33" s="39" t="s">
        <v>77</v>
      </c>
      <c r="E33" s="39"/>
      <c r="F33" s="280" t="str">
        <f>Snapshot!O26</f>
        <v>Normal</v>
      </c>
      <c r="G33" s="39"/>
      <c r="H33" s="276"/>
      <c r="I33" s="277"/>
      <c r="J33" s="39"/>
      <c r="Y33" s="306"/>
      <c r="Z33" s="99" t="s">
        <v>78</v>
      </c>
      <c r="AA33" s="99" t="s">
        <v>79</v>
      </c>
      <c r="AB33" s="100" t="s">
        <v>80</v>
      </c>
      <c r="AG33" s="52"/>
      <c r="AH33" s="260"/>
      <c r="AI33" s="52"/>
      <c r="AJ33" s="52"/>
      <c r="AK33" s="52"/>
    </row>
    <row r="34" spans="2:37" ht="12.75" customHeight="1" thickBot="1">
      <c r="C34" s="101">
        <f>IF(C32/F11&gt;1,1,C32/F11)</f>
        <v>1</v>
      </c>
      <c r="D34" s="102" t="s">
        <v>81</v>
      </c>
      <c r="E34" s="103">
        <f>Snapshot!O27</f>
        <v>0.33970762069186211</v>
      </c>
      <c r="F34" s="104" t="s">
        <v>82</v>
      </c>
      <c r="G34" s="39"/>
      <c r="H34" s="124"/>
      <c r="I34" s="124"/>
      <c r="J34" s="39"/>
      <c r="Y34" s="105" t="s">
        <v>83</v>
      </c>
      <c r="Z34" s="106">
        <v>4</v>
      </c>
      <c r="AA34" s="106">
        <v>0</v>
      </c>
      <c r="AB34" s="107">
        <v>55</v>
      </c>
      <c r="AG34" s="260"/>
      <c r="AH34" s="260"/>
      <c r="AI34" s="52"/>
      <c r="AJ34" s="52"/>
      <c r="AK34" s="52"/>
    </row>
    <row r="35" spans="2:37" ht="12.75" customHeight="1" thickTop="1">
      <c r="C35" s="101">
        <f>IF(C33="N/A","N/A",C33/C32)</f>
        <v>0.53846153846153844</v>
      </c>
      <c r="D35" s="108" t="s">
        <v>85</v>
      </c>
      <c r="E35" s="16"/>
      <c r="F35" s="98"/>
      <c r="G35" s="39"/>
      <c r="H35" s="124"/>
      <c r="I35" s="124"/>
      <c r="J35" s="39"/>
      <c r="Q35" s="109" t="s">
        <v>86</v>
      </c>
      <c r="R35" s="110" t="s">
        <v>87</v>
      </c>
      <c r="S35" s="110"/>
      <c r="T35" s="111"/>
      <c r="Y35" s="112" t="s">
        <v>34</v>
      </c>
      <c r="Z35" s="113">
        <v>2</v>
      </c>
      <c r="AA35" s="113">
        <v>0</v>
      </c>
      <c r="AB35" s="114">
        <v>50</v>
      </c>
      <c r="AG35" s="52"/>
      <c r="AH35" s="260"/>
      <c r="AI35" s="52"/>
      <c r="AJ35" s="52"/>
      <c r="AK35" s="52"/>
    </row>
    <row r="36" spans="2:37" ht="12.75" customHeight="1">
      <c r="C36" s="115" t="s">
        <v>88</v>
      </c>
      <c r="D36" s="116">
        <f>IF(D12&lt;D11,"none",(D12-D11)/100*D10)</f>
        <v>1.2</v>
      </c>
      <c r="E36" s="16" t="s">
        <v>77</v>
      </c>
      <c r="F36" s="98"/>
      <c r="G36" s="39"/>
      <c r="H36" s="278"/>
      <c r="I36" s="279"/>
      <c r="J36" s="39"/>
      <c r="Q36" s="115"/>
      <c r="R36" s="16" t="s">
        <v>89</v>
      </c>
      <c r="S36" s="16"/>
      <c r="T36" s="98"/>
      <c r="Y36" s="112" t="s">
        <v>90</v>
      </c>
      <c r="Z36" s="113">
        <v>3</v>
      </c>
      <c r="AA36" s="113" t="s">
        <v>91</v>
      </c>
      <c r="AB36" s="114">
        <v>55</v>
      </c>
      <c r="AG36" s="52"/>
      <c r="AH36" s="260"/>
      <c r="AI36" s="52"/>
      <c r="AJ36" s="52"/>
      <c r="AK36" s="52"/>
    </row>
    <row r="37" spans="2:37" ht="12.75" customHeight="1">
      <c r="C37" s="115" t="s">
        <v>92</v>
      </c>
      <c r="D37" s="116">
        <f>IF(D11&lt;100,(100-D11)/100*D10,"none")</f>
        <v>3.2</v>
      </c>
      <c r="E37" s="16" t="s">
        <v>77</v>
      </c>
      <c r="F37" s="98"/>
      <c r="G37" s="9"/>
      <c r="Q37" s="115"/>
      <c r="R37" s="16" t="s">
        <v>93</v>
      </c>
      <c r="S37" s="16"/>
      <c r="T37" s="98"/>
      <c r="Y37" s="112" t="s">
        <v>94</v>
      </c>
      <c r="Z37" s="113">
        <v>2.5</v>
      </c>
      <c r="AA37" s="113" t="s">
        <v>95</v>
      </c>
      <c r="AB37" s="114">
        <v>40</v>
      </c>
      <c r="AG37" s="260"/>
      <c r="AH37" s="260"/>
      <c r="AI37" s="52"/>
      <c r="AJ37" s="52"/>
      <c r="AK37" s="52"/>
    </row>
    <row r="38" spans="2:37" ht="12.75" customHeight="1" thickBot="1">
      <c r="B38" s="39"/>
      <c r="C38" s="303" t="s">
        <v>96</v>
      </c>
      <c r="D38" s="304">
        <f>IF(C35="N/A","N/A",(C32-C33)*Conversions!B6*Field!D6)</f>
        <v>936214.92537313455</v>
      </c>
      <c r="E38" s="118" t="s">
        <v>97</v>
      </c>
      <c r="F38" s="13"/>
      <c r="G38" s="9"/>
      <c r="Q38" s="115"/>
      <c r="R38" s="16" t="s">
        <v>98</v>
      </c>
      <c r="S38" s="16"/>
      <c r="T38" s="98"/>
      <c r="Y38" s="112" t="s">
        <v>99</v>
      </c>
      <c r="Z38" s="113">
        <v>3</v>
      </c>
      <c r="AA38" s="113" t="s">
        <v>100</v>
      </c>
      <c r="AB38" s="114">
        <v>50</v>
      </c>
      <c r="AG38" s="52"/>
      <c r="AH38" s="260"/>
      <c r="AI38" s="52"/>
      <c r="AJ38" s="52"/>
      <c r="AK38" s="52"/>
    </row>
    <row r="39" spans="2:37" ht="12.75" customHeight="1" thickTop="1" thickBot="1">
      <c r="B39" s="39"/>
      <c r="C39" s="39"/>
      <c r="D39" s="39"/>
      <c r="E39" s="39"/>
      <c r="F39" s="39"/>
      <c r="G39" s="39"/>
      <c r="Q39" s="117"/>
      <c r="R39" s="119" t="s">
        <v>101</v>
      </c>
      <c r="S39" s="120"/>
      <c r="T39" s="13"/>
      <c r="Y39" s="112" t="s">
        <v>102</v>
      </c>
      <c r="Z39" s="113">
        <v>6</v>
      </c>
      <c r="AA39" s="113">
        <v>0</v>
      </c>
      <c r="AB39" s="114">
        <v>50</v>
      </c>
      <c r="AC39" t="s">
        <v>103</v>
      </c>
      <c r="AG39" s="260"/>
      <c r="AH39" s="260"/>
      <c r="AI39" s="52"/>
      <c r="AJ39" s="52"/>
      <c r="AK39" s="52"/>
    </row>
    <row r="40" spans="2:37" ht="12.75" customHeight="1" thickTop="1">
      <c r="B40" s="39"/>
      <c r="C40" s="39"/>
      <c r="D40" s="121"/>
      <c r="E40" s="39"/>
      <c r="F40" s="39"/>
      <c r="G40" s="39"/>
      <c r="Y40" s="112" t="s">
        <v>104</v>
      </c>
      <c r="Z40" s="113">
        <v>3</v>
      </c>
      <c r="AA40" s="113">
        <v>0</v>
      </c>
      <c r="AB40" s="114">
        <v>65</v>
      </c>
      <c r="AG40" s="260"/>
      <c r="AH40" s="260"/>
      <c r="AI40" s="52"/>
      <c r="AJ40" s="52"/>
      <c r="AK40" s="52"/>
    </row>
    <row r="41" spans="2:37">
      <c r="B41" s="39"/>
      <c r="C41" s="39"/>
      <c r="D41" s="122"/>
      <c r="E41" s="39"/>
      <c r="F41" s="39"/>
      <c r="G41" s="39"/>
      <c r="Y41" s="123"/>
      <c r="Z41" s="16"/>
      <c r="AA41" s="16"/>
      <c r="AB41" s="83"/>
      <c r="AG41" s="260"/>
      <c r="AH41" s="260"/>
      <c r="AI41" s="52"/>
      <c r="AJ41" s="52"/>
      <c r="AK41" s="52"/>
    </row>
    <row r="42" spans="2:37">
      <c r="B42" s="39"/>
      <c r="C42" s="39"/>
      <c r="D42" s="121"/>
      <c r="E42" s="124"/>
      <c r="F42" s="125"/>
      <c r="G42" s="126"/>
      <c r="Y42" s="127"/>
      <c r="Z42" s="16"/>
      <c r="AA42" s="16"/>
      <c r="AB42" s="83"/>
      <c r="AG42" s="52"/>
      <c r="AH42" s="260"/>
      <c r="AI42" s="52"/>
      <c r="AJ42" s="52"/>
      <c r="AK42" s="52"/>
    </row>
    <row r="43" spans="2:37" ht="15.75" thickBot="1">
      <c r="C43" s="39"/>
      <c r="D43" s="39"/>
      <c r="E43" s="39"/>
      <c r="F43" s="39"/>
      <c r="G43" s="39"/>
      <c r="Y43" s="128"/>
      <c r="Z43" s="47"/>
      <c r="AA43" s="47"/>
      <c r="AB43" s="48"/>
      <c r="AG43" s="261"/>
      <c r="AH43" s="262"/>
      <c r="AI43" s="52"/>
      <c r="AJ43" s="52"/>
      <c r="AK43" s="52"/>
    </row>
    <row r="44" spans="2:37">
      <c r="I44" s="129"/>
      <c r="Y44" s="130" t="s">
        <v>105</v>
      </c>
      <c r="AG44" s="263"/>
      <c r="AH44" s="262"/>
      <c r="AI44" s="52"/>
      <c r="AJ44" s="52"/>
      <c r="AK44" s="52"/>
    </row>
    <row r="45" spans="2:37">
      <c r="I45" s="129"/>
      <c r="AG45" s="264"/>
      <c r="AH45" s="262"/>
      <c r="AI45" s="52"/>
      <c r="AJ45" s="52"/>
      <c r="AK45" s="52"/>
    </row>
    <row r="46" spans="2:37">
      <c r="I46" s="129"/>
      <c r="Y46" s="87" t="s">
        <v>106</v>
      </c>
      <c r="AG46" s="264"/>
      <c r="AH46" s="262"/>
      <c r="AI46" s="52"/>
      <c r="AJ46" s="52"/>
      <c r="AK46" s="52"/>
    </row>
    <row r="47" spans="2:37">
      <c r="I47" s="129"/>
      <c r="Y47" s="89"/>
    </row>
    <row r="48" spans="2:37">
      <c r="I48" s="129"/>
      <c r="Y48" s="90" t="s">
        <v>107</v>
      </c>
    </row>
    <row r="49" spans="9:27">
      <c r="I49" s="129"/>
      <c r="Y49" s="131"/>
    </row>
    <row r="50" spans="9:27" ht="26.25">
      <c r="I50" s="129"/>
      <c r="Y50" s="307" t="s">
        <v>108</v>
      </c>
      <c r="Z50" s="308"/>
      <c r="AA50" s="132" t="s">
        <v>109</v>
      </c>
    </row>
    <row r="51" spans="9:27" ht="12.75" customHeight="1">
      <c r="I51" s="129"/>
      <c r="Y51" s="309"/>
      <c r="Z51" s="310"/>
      <c r="AA51" s="133" t="s">
        <v>110</v>
      </c>
    </row>
    <row r="52" spans="9:27" ht="12.75" customHeight="1">
      <c r="I52" s="129"/>
      <c r="Y52" s="132" t="s">
        <v>111</v>
      </c>
      <c r="Z52" s="134" t="s">
        <v>112</v>
      </c>
      <c r="AA52" s="135" t="s">
        <v>113</v>
      </c>
    </row>
    <row r="53" spans="9:27" ht="12.75" customHeight="1">
      <c r="I53" s="129"/>
      <c r="Y53" s="311" t="s">
        <v>114</v>
      </c>
      <c r="Z53" s="136" t="s">
        <v>115</v>
      </c>
      <c r="AA53" s="137" t="s">
        <v>116</v>
      </c>
    </row>
    <row r="54" spans="9:27" ht="12.75" customHeight="1">
      <c r="Y54" s="312"/>
      <c r="Z54" s="136" t="s">
        <v>117</v>
      </c>
      <c r="AA54" s="137">
        <v>0.9</v>
      </c>
    </row>
    <row r="55" spans="9:27" ht="12.75" customHeight="1">
      <c r="Y55" s="313"/>
      <c r="Z55" s="136" t="s">
        <v>118</v>
      </c>
      <c r="AA55" s="137">
        <v>1.2</v>
      </c>
    </row>
    <row r="56" spans="9:27" ht="12.75" customHeight="1">
      <c r="I56" s="138"/>
      <c r="Y56" s="139"/>
      <c r="Z56" s="136" t="s">
        <v>119</v>
      </c>
      <c r="AA56" s="137">
        <v>1.5</v>
      </c>
    </row>
    <row r="57" spans="9:27" ht="12.75" customHeight="1">
      <c r="I57" s="138"/>
      <c r="Y57" s="140" t="s">
        <v>120</v>
      </c>
      <c r="Z57" s="136" t="s">
        <v>121</v>
      </c>
      <c r="AA57" s="137">
        <v>1.7</v>
      </c>
    </row>
    <row r="58" spans="9:27" ht="12.75" customHeight="1">
      <c r="I58" s="138"/>
      <c r="Y58" s="141" t="s">
        <v>122</v>
      </c>
      <c r="Z58" s="136" t="s">
        <v>123</v>
      </c>
      <c r="AA58" s="137">
        <v>1.8</v>
      </c>
    </row>
    <row r="59" spans="9:27" ht="12.75" customHeight="1">
      <c r="I59" s="138"/>
      <c r="Y59" s="142"/>
      <c r="Z59" s="136" t="s">
        <v>40</v>
      </c>
      <c r="AA59" s="137">
        <v>2</v>
      </c>
    </row>
    <row r="60" spans="9:27" ht="12.75" customHeight="1">
      <c r="I60" s="138"/>
      <c r="Y60" s="311" t="s">
        <v>124</v>
      </c>
      <c r="Z60" s="136" t="s">
        <v>125</v>
      </c>
      <c r="AA60" s="137">
        <v>2.2000000000000002</v>
      </c>
    </row>
    <row r="61" spans="9:27" ht="12.75" customHeight="1">
      <c r="I61" s="138"/>
      <c r="Y61" s="313"/>
      <c r="Z61" s="136" t="s">
        <v>126</v>
      </c>
      <c r="AA61" s="137">
        <v>2.4</v>
      </c>
    </row>
    <row r="62" spans="9:27" ht="12.75" customHeight="1">
      <c r="I62" s="138"/>
      <c r="Y62" s="89"/>
    </row>
    <row r="63" spans="9:27" ht="12.75" customHeight="1">
      <c r="Y63" s="143" t="s">
        <v>127</v>
      </c>
    </row>
  </sheetData>
  <mergeCells count="5">
    <mergeCell ref="Y32:Y33"/>
    <mergeCell ref="Y50:Z51"/>
    <mergeCell ref="Y53:Y55"/>
    <mergeCell ref="Y60:Y61"/>
    <mergeCell ref="Q15:T18"/>
  </mergeCells>
  <conditionalFormatting sqref="C33">
    <cfRule type="cellIs" dxfId="23" priority="10" stopIfTrue="1" operator="greaterThanOrEqual">
      <formula>$D$13</formula>
    </cfRule>
    <cfRule type="cellIs" dxfId="22" priority="11" stopIfTrue="1" operator="lessThan">
      <formula>$D$13</formula>
    </cfRule>
  </conditionalFormatting>
  <conditionalFormatting sqref="E34">
    <cfRule type="cellIs" dxfId="21" priority="8" stopIfTrue="1" operator="equal">
      <formula>"n/a!"</formula>
    </cfRule>
    <cfRule type="expression" dxfId="20" priority="9" stopIfTrue="1">
      <formula>$AB$9=99</formula>
    </cfRule>
  </conditionalFormatting>
  <conditionalFormatting sqref="AH43:AH44">
    <cfRule type="cellIs" dxfId="19" priority="4" stopIfTrue="1" operator="equal">
      <formula>"YES"</formula>
    </cfRule>
    <cfRule type="cellIs" dxfId="18" priority="5" stopIfTrue="1" operator="lessThanOrEqual">
      <formula>$H$35</formula>
    </cfRule>
    <cfRule type="cellIs" dxfId="17" priority="6" stopIfTrue="1" operator="greaterThanOrEqual">
      <formula>$I$35</formula>
    </cfRule>
    <cfRule type="cellIs" dxfId="16" priority="7" stopIfTrue="1" operator="between">
      <formula>$H$35</formula>
      <formula>$I$35</formula>
    </cfRule>
  </conditionalFormatting>
  <conditionalFormatting sqref="E16:F17">
    <cfRule type="expression" dxfId="15" priority="3" stopIfTrue="1">
      <formula>$D$16=$AF$3</formula>
    </cfRule>
  </conditionalFormatting>
  <conditionalFormatting sqref="C22">
    <cfRule type="expression" dxfId="14" priority="1" stopIfTrue="1">
      <formula>$D$18=$AH$4</formula>
    </cfRule>
    <cfRule type="expression" dxfId="13" priority="2" stopIfTrue="1">
      <formula>$D$18=$AH$2</formula>
    </cfRule>
  </conditionalFormatting>
  <dataValidations disablePrompts="1" count="11">
    <dataValidation type="list" allowBlank="1" showInputMessage="1" showErrorMessage="1" sqref="D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D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D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D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D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D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D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D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D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D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D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D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D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D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D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D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ormula1>$AH$2:$AH$4</formula1>
    </dataValidation>
    <dataValidation type="list" allowBlank="1" showInputMessage="1" showErrorMessage="1" sqref="C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C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C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C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C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C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C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C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C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C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C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C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C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C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C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formula1>$AF$6:$AF$7</formula1>
    </dataValidation>
    <dataValidation type="list" allowBlank="1" showInputMessage="1" showErrorMessage="1" sqref="K8:K9 JI8:JI9 TE8:TE9 ADA8:ADA9 AMW8:AMW9 AWS8:AWS9 BGO8:BGO9 BQK8:BQK9 CAG8:CAG9 CKC8:CKC9 CTY8:CTY9 DDU8:DDU9 DNQ8:DNQ9 DXM8:DXM9 EHI8:EHI9 ERE8:ERE9 FBA8:FBA9 FKW8:FKW9 FUS8:FUS9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K65544:K65545 JI65544:JI65545 TE65544:TE65545 ADA65544:ADA65545 AMW65544:AMW65545 AWS65544:AWS65545 BGO65544:BGO65545 BQK65544:BQK65545 CAG65544:CAG65545 CKC65544:CKC65545 CTY65544:CTY65545 DDU65544:DDU65545 DNQ65544:DNQ65545 DXM65544:DXM65545 EHI65544:EHI65545 ERE65544:ERE65545 FBA65544:FBA65545 FKW65544:FKW65545 FUS65544:FUS65545 GEO65544:GEO65545 GOK65544:GOK65545 GYG65544:GYG65545 HIC65544:HIC65545 HRY65544:HRY65545 IBU65544:IBU65545 ILQ65544:ILQ65545 IVM65544:IVM65545 JFI65544:JFI65545 JPE65544:JPE65545 JZA65544:JZA65545 KIW65544:KIW65545 KSS65544:KSS65545 LCO65544:LCO65545 LMK65544:LMK65545 LWG65544:LWG65545 MGC65544:MGC65545 MPY65544:MPY65545 MZU65544:MZU65545 NJQ65544:NJQ65545 NTM65544:NTM65545 ODI65544:ODI65545 ONE65544:ONE65545 OXA65544:OXA65545 PGW65544:PGW65545 PQS65544:PQS65545 QAO65544:QAO65545 QKK65544:QKK65545 QUG65544:QUG65545 REC65544:REC65545 RNY65544:RNY65545 RXU65544:RXU65545 SHQ65544:SHQ65545 SRM65544:SRM65545 TBI65544:TBI65545 TLE65544:TLE65545 TVA65544:TVA65545 UEW65544:UEW65545 UOS65544:UOS65545 UYO65544:UYO65545 VIK65544:VIK65545 VSG65544:VSG65545 WCC65544:WCC65545 WLY65544:WLY65545 WVU65544:WVU65545 K131080:K131081 JI131080:JI131081 TE131080:TE131081 ADA131080:ADA131081 AMW131080:AMW131081 AWS131080:AWS131081 BGO131080:BGO131081 BQK131080:BQK131081 CAG131080:CAG131081 CKC131080:CKC131081 CTY131080:CTY131081 DDU131080:DDU131081 DNQ131080:DNQ131081 DXM131080:DXM131081 EHI131080:EHI131081 ERE131080:ERE131081 FBA131080:FBA131081 FKW131080:FKW131081 FUS131080:FUS131081 GEO131080:GEO131081 GOK131080:GOK131081 GYG131080:GYG131081 HIC131080:HIC131081 HRY131080:HRY131081 IBU131080:IBU131081 ILQ131080:ILQ131081 IVM131080:IVM131081 JFI131080:JFI131081 JPE131080:JPE131081 JZA131080:JZA131081 KIW131080:KIW131081 KSS131080:KSS131081 LCO131080:LCO131081 LMK131080:LMK131081 LWG131080:LWG131081 MGC131080:MGC131081 MPY131080:MPY131081 MZU131080:MZU131081 NJQ131080:NJQ131081 NTM131080:NTM131081 ODI131080:ODI131081 ONE131080:ONE131081 OXA131080:OXA131081 PGW131080:PGW131081 PQS131080:PQS131081 QAO131080:QAO131081 QKK131080:QKK131081 QUG131080:QUG131081 REC131080:REC131081 RNY131080:RNY131081 RXU131080:RXU131081 SHQ131080:SHQ131081 SRM131080:SRM131081 TBI131080:TBI131081 TLE131080:TLE131081 TVA131080:TVA131081 UEW131080:UEW131081 UOS131080:UOS131081 UYO131080:UYO131081 VIK131080:VIK131081 VSG131080:VSG131081 WCC131080:WCC131081 WLY131080:WLY131081 WVU131080:WVU131081 K196616:K196617 JI196616:JI196617 TE196616:TE196617 ADA196616:ADA196617 AMW196616:AMW196617 AWS196616:AWS196617 BGO196616:BGO196617 BQK196616:BQK196617 CAG196616:CAG196617 CKC196616:CKC196617 CTY196616:CTY196617 DDU196616:DDU196617 DNQ196616:DNQ196617 DXM196616:DXM196617 EHI196616:EHI196617 ERE196616:ERE196617 FBA196616:FBA196617 FKW196616:FKW196617 FUS196616:FUS196617 GEO196616:GEO196617 GOK196616:GOK196617 GYG196616:GYG196617 HIC196616:HIC196617 HRY196616:HRY196617 IBU196616:IBU196617 ILQ196616:ILQ196617 IVM196616:IVM196617 JFI196616:JFI196617 JPE196616:JPE196617 JZA196616:JZA196617 KIW196616:KIW196617 KSS196616:KSS196617 LCO196616:LCO196617 LMK196616:LMK196617 LWG196616:LWG196617 MGC196616:MGC196617 MPY196616:MPY196617 MZU196616:MZU196617 NJQ196616:NJQ196617 NTM196616:NTM196617 ODI196616:ODI196617 ONE196616:ONE196617 OXA196616:OXA196617 PGW196616:PGW196617 PQS196616:PQS196617 QAO196616:QAO196617 QKK196616:QKK196617 QUG196616:QUG196617 REC196616:REC196617 RNY196616:RNY196617 RXU196616:RXU196617 SHQ196616:SHQ196617 SRM196616:SRM196617 TBI196616:TBI196617 TLE196616:TLE196617 TVA196616:TVA196617 UEW196616:UEW196617 UOS196616:UOS196617 UYO196616:UYO196617 VIK196616:VIK196617 VSG196616:VSG196617 WCC196616:WCC196617 WLY196616:WLY196617 WVU196616:WVU196617 K262152:K262153 JI262152:JI262153 TE262152:TE262153 ADA262152:ADA262153 AMW262152:AMW262153 AWS262152:AWS262153 BGO262152:BGO262153 BQK262152:BQK262153 CAG262152:CAG262153 CKC262152:CKC262153 CTY262152:CTY262153 DDU262152:DDU262153 DNQ262152:DNQ262153 DXM262152:DXM262153 EHI262152:EHI262153 ERE262152:ERE262153 FBA262152:FBA262153 FKW262152:FKW262153 FUS262152:FUS262153 GEO262152:GEO262153 GOK262152:GOK262153 GYG262152:GYG262153 HIC262152:HIC262153 HRY262152:HRY262153 IBU262152:IBU262153 ILQ262152:ILQ262153 IVM262152:IVM262153 JFI262152:JFI262153 JPE262152:JPE262153 JZA262152:JZA262153 KIW262152:KIW262153 KSS262152:KSS262153 LCO262152:LCO262153 LMK262152:LMK262153 LWG262152:LWG262153 MGC262152:MGC262153 MPY262152:MPY262153 MZU262152:MZU262153 NJQ262152:NJQ262153 NTM262152:NTM262153 ODI262152:ODI262153 ONE262152:ONE262153 OXA262152:OXA262153 PGW262152:PGW262153 PQS262152:PQS262153 QAO262152:QAO262153 QKK262152:QKK262153 QUG262152:QUG262153 REC262152:REC262153 RNY262152:RNY262153 RXU262152:RXU262153 SHQ262152:SHQ262153 SRM262152:SRM262153 TBI262152:TBI262153 TLE262152:TLE262153 TVA262152:TVA262153 UEW262152:UEW262153 UOS262152:UOS262153 UYO262152:UYO262153 VIK262152:VIK262153 VSG262152:VSG262153 WCC262152:WCC262153 WLY262152:WLY262153 WVU262152:WVU262153 K327688:K327689 JI327688:JI327689 TE327688:TE327689 ADA327688:ADA327689 AMW327688:AMW327689 AWS327688:AWS327689 BGO327688:BGO327689 BQK327688:BQK327689 CAG327688:CAG327689 CKC327688:CKC327689 CTY327688:CTY327689 DDU327688:DDU327689 DNQ327688:DNQ327689 DXM327688:DXM327689 EHI327688:EHI327689 ERE327688:ERE327689 FBA327688:FBA327689 FKW327688:FKW327689 FUS327688:FUS327689 GEO327688:GEO327689 GOK327688:GOK327689 GYG327688:GYG327689 HIC327688:HIC327689 HRY327688:HRY327689 IBU327688:IBU327689 ILQ327688:ILQ327689 IVM327688:IVM327689 JFI327688:JFI327689 JPE327688:JPE327689 JZA327688:JZA327689 KIW327688:KIW327689 KSS327688:KSS327689 LCO327688:LCO327689 LMK327688:LMK327689 LWG327688:LWG327689 MGC327688:MGC327689 MPY327688:MPY327689 MZU327688:MZU327689 NJQ327688:NJQ327689 NTM327688:NTM327689 ODI327688:ODI327689 ONE327688:ONE327689 OXA327688:OXA327689 PGW327688:PGW327689 PQS327688:PQS327689 QAO327688:QAO327689 QKK327688:QKK327689 QUG327688:QUG327689 REC327688:REC327689 RNY327688:RNY327689 RXU327688:RXU327689 SHQ327688:SHQ327689 SRM327688:SRM327689 TBI327688:TBI327689 TLE327688:TLE327689 TVA327688:TVA327689 UEW327688:UEW327689 UOS327688:UOS327689 UYO327688:UYO327689 VIK327688:VIK327689 VSG327688:VSG327689 WCC327688:WCC327689 WLY327688:WLY327689 WVU327688:WVU327689 K393224:K393225 JI393224:JI393225 TE393224:TE393225 ADA393224:ADA393225 AMW393224:AMW393225 AWS393224:AWS393225 BGO393224:BGO393225 BQK393224:BQK393225 CAG393224:CAG393225 CKC393224:CKC393225 CTY393224:CTY393225 DDU393224:DDU393225 DNQ393224:DNQ393225 DXM393224:DXM393225 EHI393224:EHI393225 ERE393224:ERE393225 FBA393224:FBA393225 FKW393224:FKW393225 FUS393224:FUS393225 GEO393224:GEO393225 GOK393224:GOK393225 GYG393224:GYG393225 HIC393224:HIC393225 HRY393224:HRY393225 IBU393224:IBU393225 ILQ393224:ILQ393225 IVM393224:IVM393225 JFI393224:JFI393225 JPE393224:JPE393225 JZA393224:JZA393225 KIW393224:KIW393225 KSS393224:KSS393225 LCO393224:LCO393225 LMK393224:LMK393225 LWG393224:LWG393225 MGC393224:MGC393225 MPY393224:MPY393225 MZU393224:MZU393225 NJQ393224:NJQ393225 NTM393224:NTM393225 ODI393224:ODI393225 ONE393224:ONE393225 OXA393224:OXA393225 PGW393224:PGW393225 PQS393224:PQS393225 QAO393224:QAO393225 QKK393224:QKK393225 QUG393224:QUG393225 REC393224:REC393225 RNY393224:RNY393225 RXU393224:RXU393225 SHQ393224:SHQ393225 SRM393224:SRM393225 TBI393224:TBI393225 TLE393224:TLE393225 TVA393224:TVA393225 UEW393224:UEW393225 UOS393224:UOS393225 UYO393224:UYO393225 VIK393224:VIK393225 VSG393224:VSG393225 WCC393224:WCC393225 WLY393224:WLY393225 WVU393224:WVU393225 K458760:K458761 JI458760:JI458761 TE458760:TE458761 ADA458760:ADA458761 AMW458760:AMW458761 AWS458760:AWS458761 BGO458760:BGO458761 BQK458760:BQK458761 CAG458760:CAG458761 CKC458760:CKC458761 CTY458760:CTY458761 DDU458760:DDU458761 DNQ458760:DNQ458761 DXM458760:DXM458761 EHI458760:EHI458761 ERE458760:ERE458761 FBA458760:FBA458761 FKW458760:FKW458761 FUS458760:FUS458761 GEO458760:GEO458761 GOK458760:GOK458761 GYG458760:GYG458761 HIC458760:HIC458761 HRY458760:HRY458761 IBU458760:IBU458761 ILQ458760:ILQ458761 IVM458760:IVM458761 JFI458760:JFI458761 JPE458760:JPE458761 JZA458760:JZA458761 KIW458760:KIW458761 KSS458760:KSS458761 LCO458760:LCO458761 LMK458760:LMK458761 LWG458760:LWG458761 MGC458760:MGC458761 MPY458760:MPY458761 MZU458760:MZU458761 NJQ458760:NJQ458761 NTM458760:NTM458761 ODI458760:ODI458761 ONE458760:ONE458761 OXA458760:OXA458761 PGW458760:PGW458761 PQS458760:PQS458761 QAO458760:QAO458761 QKK458760:QKK458761 QUG458760:QUG458761 REC458760:REC458761 RNY458760:RNY458761 RXU458760:RXU458761 SHQ458760:SHQ458761 SRM458760:SRM458761 TBI458760:TBI458761 TLE458760:TLE458761 TVA458760:TVA458761 UEW458760:UEW458761 UOS458760:UOS458761 UYO458760:UYO458761 VIK458760:VIK458761 VSG458760:VSG458761 WCC458760:WCC458761 WLY458760:WLY458761 WVU458760:WVU458761 K524296:K524297 JI524296:JI524297 TE524296:TE524297 ADA524296:ADA524297 AMW524296:AMW524297 AWS524296:AWS524297 BGO524296:BGO524297 BQK524296:BQK524297 CAG524296:CAG524297 CKC524296:CKC524297 CTY524296:CTY524297 DDU524296:DDU524297 DNQ524296:DNQ524297 DXM524296:DXM524297 EHI524296:EHI524297 ERE524296:ERE524297 FBA524296:FBA524297 FKW524296:FKW524297 FUS524296:FUS524297 GEO524296:GEO524297 GOK524296:GOK524297 GYG524296:GYG524297 HIC524296:HIC524297 HRY524296:HRY524297 IBU524296:IBU524297 ILQ524296:ILQ524297 IVM524296:IVM524297 JFI524296:JFI524297 JPE524296:JPE524297 JZA524296:JZA524297 KIW524296:KIW524297 KSS524296:KSS524297 LCO524296:LCO524297 LMK524296:LMK524297 LWG524296:LWG524297 MGC524296:MGC524297 MPY524296:MPY524297 MZU524296:MZU524297 NJQ524296:NJQ524297 NTM524296:NTM524297 ODI524296:ODI524297 ONE524296:ONE524297 OXA524296:OXA524297 PGW524296:PGW524297 PQS524296:PQS524297 QAO524296:QAO524297 QKK524296:QKK524297 QUG524296:QUG524297 REC524296:REC524297 RNY524296:RNY524297 RXU524296:RXU524297 SHQ524296:SHQ524297 SRM524296:SRM524297 TBI524296:TBI524297 TLE524296:TLE524297 TVA524296:TVA524297 UEW524296:UEW524297 UOS524296:UOS524297 UYO524296:UYO524297 VIK524296:VIK524297 VSG524296:VSG524297 WCC524296:WCC524297 WLY524296:WLY524297 WVU524296:WVU524297 K589832:K589833 JI589832:JI589833 TE589832:TE589833 ADA589832:ADA589833 AMW589832:AMW589833 AWS589832:AWS589833 BGO589832:BGO589833 BQK589832:BQK589833 CAG589832:CAG589833 CKC589832:CKC589833 CTY589832:CTY589833 DDU589832:DDU589833 DNQ589832:DNQ589833 DXM589832:DXM589833 EHI589832:EHI589833 ERE589832:ERE589833 FBA589832:FBA589833 FKW589832:FKW589833 FUS589832:FUS589833 GEO589832:GEO589833 GOK589832:GOK589833 GYG589832:GYG589833 HIC589832:HIC589833 HRY589832:HRY589833 IBU589832:IBU589833 ILQ589832:ILQ589833 IVM589832:IVM589833 JFI589832:JFI589833 JPE589832:JPE589833 JZA589832:JZA589833 KIW589832:KIW589833 KSS589832:KSS589833 LCO589832:LCO589833 LMK589832:LMK589833 LWG589832:LWG589833 MGC589832:MGC589833 MPY589832:MPY589833 MZU589832:MZU589833 NJQ589832:NJQ589833 NTM589832:NTM589833 ODI589832:ODI589833 ONE589832:ONE589833 OXA589832:OXA589833 PGW589832:PGW589833 PQS589832:PQS589833 QAO589832:QAO589833 QKK589832:QKK589833 QUG589832:QUG589833 REC589832:REC589833 RNY589832:RNY589833 RXU589832:RXU589833 SHQ589832:SHQ589833 SRM589832:SRM589833 TBI589832:TBI589833 TLE589832:TLE589833 TVA589832:TVA589833 UEW589832:UEW589833 UOS589832:UOS589833 UYO589832:UYO589833 VIK589832:VIK589833 VSG589832:VSG589833 WCC589832:WCC589833 WLY589832:WLY589833 WVU589832:WVU589833 K655368:K655369 JI655368:JI655369 TE655368:TE655369 ADA655368:ADA655369 AMW655368:AMW655369 AWS655368:AWS655369 BGO655368:BGO655369 BQK655368:BQK655369 CAG655368:CAG655369 CKC655368:CKC655369 CTY655368:CTY655369 DDU655368:DDU655369 DNQ655368:DNQ655369 DXM655368:DXM655369 EHI655368:EHI655369 ERE655368:ERE655369 FBA655368:FBA655369 FKW655368:FKW655369 FUS655368:FUS655369 GEO655368:GEO655369 GOK655368:GOK655369 GYG655368:GYG655369 HIC655368:HIC655369 HRY655368:HRY655369 IBU655368:IBU655369 ILQ655368:ILQ655369 IVM655368:IVM655369 JFI655368:JFI655369 JPE655368:JPE655369 JZA655368:JZA655369 KIW655368:KIW655369 KSS655368:KSS655369 LCO655368:LCO655369 LMK655368:LMK655369 LWG655368:LWG655369 MGC655368:MGC655369 MPY655368:MPY655369 MZU655368:MZU655369 NJQ655368:NJQ655369 NTM655368:NTM655369 ODI655368:ODI655369 ONE655368:ONE655369 OXA655368:OXA655369 PGW655368:PGW655369 PQS655368:PQS655369 QAO655368:QAO655369 QKK655368:QKK655369 QUG655368:QUG655369 REC655368:REC655369 RNY655368:RNY655369 RXU655368:RXU655369 SHQ655368:SHQ655369 SRM655368:SRM655369 TBI655368:TBI655369 TLE655368:TLE655369 TVA655368:TVA655369 UEW655368:UEW655369 UOS655368:UOS655369 UYO655368:UYO655369 VIK655368:VIK655369 VSG655368:VSG655369 WCC655368:WCC655369 WLY655368:WLY655369 WVU655368:WVU655369 K720904:K720905 JI720904:JI720905 TE720904:TE720905 ADA720904:ADA720905 AMW720904:AMW720905 AWS720904:AWS720905 BGO720904:BGO720905 BQK720904:BQK720905 CAG720904:CAG720905 CKC720904:CKC720905 CTY720904:CTY720905 DDU720904:DDU720905 DNQ720904:DNQ720905 DXM720904:DXM720905 EHI720904:EHI720905 ERE720904:ERE720905 FBA720904:FBA720905 FKW720904:FKW720905 FUS720904:FUS720905 GEO720904:GEO720905 GOK720904:GOK720905 GYG720904:GYG720905 HIC720904:HIC720905 HRY720904:HRY720905 IBU720904:IBU720905 ILQ720904:ILQ720905 IVM720904:IVM720905 JFI720904:JFI720905 JPE720904:JPE720905 JZA720904:JZA720905 KIW720904:KIW720905 KSS720904:KSS720905 LCO720904:LCO720905 LMK720904:LMK720905 LWG720904:LWG720905 MGC720904:MGC720905 MPY720904:MPY720905 MZU720904:MZU720905 NJQ720904:NJQ720905 NTM720904:NTM720905 ODI720904:ODI720905 ONE720904:ONE720905 OXA720904:OXA720905 PGW720904:PGW720905 PQS720904:PQS720905 QAO720904:QAO720905 QKK720904:QKK720905 QUG720904:QUG720905 REC720904:REC720905 RNY720904:RNY720905 RXU720904:RXU720905 SHQ720904:SHQ720905 SRM720904:SRM720905 TBI720904:TBI720905 TLE720904:TLE720905 TVA720904:TVA720905 UEW720904:UEW720905 UOS720904:UOS720905 UYO720904:UYO720905 VIK720904:VIK720905 VSG720904:VSG720905 WCC720904:WCC720905 WLY720904:WLY720905 WVU720904:WVU720905 K786440:K786441 JI786440:JI786441 TE786440:TE786441 ADA786440:ADA786441 AMW786440:AMW786441 AWS786440:AWS786441 BGO786440:BGO786441 BQK786440:BQK786441 CAG786440:CAG786441 CKC786440:CKC786441 CTY786440:CTY786441 DDU786440:DDU786441 DNQ786440:DNQ786441 DXM786440:DXM786441 EHI786440:EHI786441 ERE786440:ERE786441 FBA786440:FBA786441 FKW786440:FKW786441 FUS786440:FUS786441 GEO786440:GEO786441 GOK786440:GOK786441 GYG786440:GYG786441 HIC786440:HIC786441 HRY786440:HRY786441 IBU786440:IBU786441 ILQ786440:ILQ786441 IVM786440:IVM786441 JFI786440:JFI786441 JPE786440:JPE786441 JZA786440:JZA786441 KIW786440:KIW786441 KSS786440:KSS786441 LCO786440:LCO786441 LMK786440:LMK786441 LWG786440:LWG786441 MGC786440:MGC786441 MPY786440:MPY786441 MZU786440:MZU786441 NJQ786440:NJQ786441 NTM786440:NTM786441 ODI786440:ODI786441 ONE786440:ONE786441 OXA786440:OXA786441 PGW786440:PGW786441 PQS786440:PQS786441 QAO786440:QAO786441 QKK786440:QKK786441 QUG786440:QUG786441 REC786440:REC786441 RNY786440:RNY786441 RXU786440:RXU786441 SHQ786440:SHQ786441 SRM786440:SRM786441 TBI786440:TBI786441 TLE786440:TLE786441 TVA786440:TVA786441 UEW786440:UEW786441 UOS786440:UOS786441 UYO786440:UYO786441 VIK786440:VIK786441 VSG786440:VSG786441 WCC786440:WCC786441 WLY786440:WLY786441 WVU786440:WVU786441 K851976:K851977 JI851976:JI851977 TE851976:TE851977 ADA851976:ADA851977 AMW851976:AMW851977 AWS851976:AWS851977 BGO851976:BGO851977 BQK851976:BQK851977 CAG851976:CAG851977 CKC851976:CKC851977 CTY851976:CTY851977 DDU851976:DDU851977 DNQ851976:DNQ851977 DXM851976:DXM851977 EHI851976:EHI851977 ERE851976:ERE851977 FBA851976:FBA851977 FKW851976:FKW851977 FUS851976:FUS851977 GEO851976:GEO851977 GOK851976:GOK851977 GYG851976:GYG851977 HIC851976:HIC851977 HRY851976:HRY851977 IBU851976:IBU851977 ILQ851976:ILQ851977 IVM851976:IVM851977 JFI851976:JFI851977 JPE851976:JPE851977 JZA851976:JZA851977 KIW851976:KIW851977 KSS851976:KSS851977 LCO851976:LCO851977 LMK851976:LMK851977 LWG851976:LWG851977 MGC851976:MGC851977 MPY851976:MPY851977 MZU851976:MZU851977 NJQ851976:NJQ851977 NTM851976:NTM851977 ODI851976:ODI851977 ONE851976:ONE851977 OXA851976:OXA851977 PGW851976:PGW851977 PQS851976:PQS851977 QAO851976:QAO851977 QKK851976:QKK851977 QUG851976:QUG851977 REC851976:REC851977 RNY851976:RNY851977 RXU851976:RXU851977 SHQ851976:SHQ851977 SRM851976:SRM851977 TBI851976:TBI851977 TLE851976:TLE851977 TVA851976:TVA851977 UEW851976:UEW851977 UOS851976:UOS851977 UYO851976:UYO851977 VIK851976:VIK851977 VSG851976:VSG851977 WCC851976:WCC851977 WLY851976:WLY851977 WVU851976:WVU851977 K917512:K917513 JI917512:JI917513 TE917512:TE917513 ADA917512:ADA917513 AMW917512:AMW917513 AWS917512:AWS917513 BGO917512:BGO917513 BQK917512:BQK917513 CAG917512:CAG917513 CKC917512:CKC917513 CTY917512:CTY917513 DDU917512:DDU917513 DNQ917512:DNQ917513 DXM917512:DXM917513 EHI917512:EHI917513 ERE917512:ERE917513 FBA917512:FBA917513 FKW917512:FKW917513 FUS917512:FUS917513 GEO917512:GEO917513 GOK917512:GOK917513 GYG917512:GYG917513 HIC917512:HIC917513 HRY917512:HRY917513 IBU917512:IBU917513 ILQ917512:ILQ917513 IVM917512:IVM917513 JFI917512:JFI917513 JPE917512:JPE917513 JZA917512:JZA917513 KIW917512:KIW917513 KSS917512:KSS917513 LCO917512:LCO917513 LMK917512:LMK917513 LWG917512:LWG917513 MGC917512:MGC917513 MPY917512:MPY917513 MZU917512:MZU917513 NJQ917512:NJQ917513 NTM917512:NTM917513 ODI917512:ODI917513 ONE917512:ONE917513 OXA917512:OXA917513 PGW917512:PGW917513 PQS917512:PQS917513 QAO917512:QAO917513 QKK917512:QKK917513 QUG917512:QUG917513 REC917512:REC917513 RNY917512:RNY917513 RXU917512:RXU917513 SHQ917512:SHQ917513 SRM917512:SRM917513 TBI917512:TBI917513 TLE917512:TLE917513 TVA917512:TVA917513 UEW917512:UEW917513 UOS917512:UOS917513 UYO917512:UYO917513 VIK917512:VIK917513 VSG917512:VSG917513 WCC917512:WCC917513 WLY917512:WLY917513 WVU917512:WVU917513 K983048:K983049 JI983048:JI983049 TE983048:TE983049 ADA983048:ADA983049 AMW983048:AMW983049 AWS983048:AWS983049 BGO983048:BGO983049 BQK983048:BQK983049 CAG983048:CAG983049 CKC983048:CKC983049 CTY983048:CTY983049 DDU983048:DDU983049 DNQ983048:DNQ983049 DXM983048:DXM983049 EHI983048:EHI983049 ERE983048:ERE983049 FBA983048:FBA983049 FKW983048:FKW983049 FUS983048:FUS983049 GEO983048:GEO983049 GOK983048:GOK983049 GYG983048:GYG983049 HIC983048:HIC983049 HRY983048:HRY983049 IBU983048:IBU983049 ILQ983048:ILQ983049 IVM983048:IVM983049 JFI983048:JFI983049 JPE983048:JPE983049 JZA983048:JZA983049 KIW983048:KIW983049 KSS983048:KSS983049 LCO983048:LCO983049 LMK983048:LMK983049 LWG983048:LWG983049 MGC983048:MGC983049 MPY983048:MPY983049 MZU983048:MZU983049 NJQ983048:NJQ983049 NTM983048:NTM983049 ODI983048:ODI983049 ONE983048:ONE983049 OXA983048:OXA983049 PGW983048:PGW983049 PQS983048:PQS983049 QAO983048:QAO983049 QKK983048:QKK983049 QUG983048:QUG983049 REC983048:REC983049 RNY983048:RNY983049 RXU983048:RXU983049 SHQ983048:SHQ983049 SRM983048:SRM983049 TBI983048:TBI983049 TLE983048:TLE983049 TVA983048:TVA983049 UEW983048:UEW983049 UOS983048:UOS983049 UYO983048:UYO983049 VIK983048:VIK983049 VSG983048:VSG983049 WCC983048:WCC983049 WLY983048:WLY983049 WVU983048:WVU983049 K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K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K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K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K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K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K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K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K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K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K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K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K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K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K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K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K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K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K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K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K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K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K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K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K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K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K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K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K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K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K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K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formula1>$AB$3:$AB$4</formula1>
    </dataValidation>
    <dataValidation type="list" allowBlank="1" showInputMessage="1" showErrorMessage="1" sqref="D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D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D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D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D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D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D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D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D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D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D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D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D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D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D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D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$Z$53:$Z$61</formula1>
    </dataValidation>
    <dataValidation type="list" allowBlank="1" showInputMessage="1" showErrorMessage="1" sqref="D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D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D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D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D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D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D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D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D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D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D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D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D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D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D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D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ormula1>$Y$34:$Y$43</formula1>
    </dataValidation>
    <dataValidation type="list" allowBlank="1" showInputMessage="1" showErrorMessage="1" sqref="D21:D22 JB21:JB22 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D65557:D65558 JB65557:JB65558 SX65557:SX65558 ACT65557:ACT65558 AMP65557:AMP65558 AWL65557:AWL65558 BGH65557:BGH65558 BQD65557:BQD65558 BZZ65557:BZZ65558 CJV65557:CJV65558 CTR65557:CTR65558 DDN65557:DDN65558 DNJ65557:DNJ65558 DXF65557:DXF65558 EHB65557:EHB65558 EQX65557:EQX65558 FAT65557:FAT65558 FKP65557:FKP65558 FUL65557:FUL65558 GEH65557:GEH65558 GOD65557:GOD65558 GXZ65557:GXZ65558 HHV65557:HHV65558 HRR65557:HRR65558 IBN65557:IBN65558 ILJ65557:ILJ65558 IVF65557:IVF65558 JFB65557:JFB65558 JOX65557:JOX65558 JYT65557:JYT65558 KIP65557:KIP65558 KSL65557:KSL65558 LCH65557:LCH65558 LMD65557:LMD65558 LVZ65557:LVZ65558 MFV65557:MFV65558 MPR65557:MPR65558 MZN65557:MZN65558 NJJ65557:NJJ65558 NTF65557:NTF65558 ODB65557:ODB65558 OMX65557:OMX65558 OWT65557:OWT65558 PGP65557:PGP65558 PQL65557:PQL65558 QAH65557:QAH65558 QKD65557:QKD65558 QTZ65557:QTZ65558 RDV65557:RDV65558 RNR65557:RNR65558 RXN65557:RXN65558 SHJ65557:SHJ65558 SRF65557:SRF65558 TBB65557:TBB65558 TKX65557:TKX65558 TUT65557:TUT65558 UEP65557:UEP65558 UOL65557:UOL65558 UYH65557:UYH65558 VID65557:VID65558 VRZ65557:VRZ65558 WBV65557:WBV65558 WLR65557:WLR65558 WVN65557:WVN65558 D131093:D131094 JB131093:JB131094 SX131093:SX131094 ACT131093:ACT131094 AMP131093:AMP131094 AWL131093:AWL131094 BGH131093:BGH131094 BQD131093:BQD131094 BZZ131093:BZZ131094 CJV131093:CJV131094 CTR131093:CTR131094 DDN131093:DDN131094 DNJ131093:DNJ131094 DXF131093:DXF131094 EHB131093:EHB131094 EQX131093:EQX131094 FAT131093:FAT131094 FKP131093:FKP131094 FUL131093:FUL131094 GEH131093:GEH131094 GOD131093:GOD131094 GXZ131093:GXZ131094 HHV131093:HHV131094 HRR131093:HRR131094 IBN131093:IBN131094 ILJ131093:ILJ131094 IVF131093:IVF131094 JFB131093:JFB131094 JOX131093:JOX131094 JYT131093:JYT131094 KIP131093:KIP131094 KSL131093:KSL131094 LCH131093:LCH131094 LMD131093:LMD131094 LVZ131093:LVZ131094 MFV131093:MFV131094 MPR131093:MPR131094 MZN131093:MZN131094 NJJ131093:NJJ131094 NTF131093:NTF131094 ODB131093:ODB131094 OMX131093:OMX131094 OWT131093:OWT131094 PGP131093:PGP131094 PQL131093:PQL131094 QAH131093:QAH131094 QKD131093:QKD131094 QTZ131093:QTZ131094 RDV131093:RDV131094 RNR131093:RNR131094 RXN131093:RXN131094 SHJ131093:SHJ131094 SRF131093:SRF131094 TBB131093:TBB131094 TKX131093:TKX131094 TUT131093:TUT131094 UEP131093:UEP131094 UOL131093:UOL131094 UYH131093:UYH131094 VID131093:VID131094 VRZ131093:VRZ131094 WBV131093:WBV131094 WLR131093:WLR131094 WVN131093:WVN131094 D196629:D196630 JB196629:JB196630 SX196629:SX196630 ACT196629:ACT196630 AMP196629:AMP196630 AWL196629:AWL196630 BGH196629:BGH196630 BQD196629:BQD196630 BZZ196629:BZZ196630 CJV196629:CJV196630 CTR196629:CTR196630 DDN196629:DDN196630 DNJ196629:DNJ196630 DXF196629:DXF196630 EHB196629:EHB196630 EQX196629:EQX196630 FAT196629:FAT196630 FKP196629:FKP196630 FUL196629:FUL196630 GEH196629:GEH196630 GOD196629:GOD196630 GXZ196629:GXZ196630 HHV196629:HHV196630 HRR196629:HRR196630 IBN196629:IBN196630 ILJ196629:ILJ196630 IVF196629:IVF196630 JFB196629:JFB196630 JOX196629:JOX196630 JYT196629:JYT196630 KIP196629:KIP196630 KSL196629:KSL196630 LCH196629:LCH196630 LMD196629:LMD196630 LVZ196629:LVZ196630 MFV196629:MFV196630 MPR196629:MPR196630 MZN196629:MZN196630 NJJ196629:NJJ196630 NTF196629:NTF196630 ODB196629:ODB196630 OMX196629:OMX196630 OWT196629:OWT196630 PGP196629:PGP196630 PQL196629:PQL196630 QAH196629:QAH196630 QKD196629:QKD196630 QTZ196629:QTZ196630 RDV196629:RDV196630 RNR196629:RNR196630 RXN196629:RXN196630 SHJ196629:SHJ196630 SRF196629:SRF196630 TBB196629:TBB196630 TKX196629:TKX196630 TUT196629:TUT196630 UEP196629:UEP196630 UOL196629:UOL196630 UYH196629:UYH196630 VID196629:VID196630 VRZ196629:VRZ196630 WBV196629:WBV196630 WLR196629:WLR196630 WVN196629:WVN196630 D262165:D262166 JB262165:JB262166 SX262165:SX262166 ACT262165:ACT262166 AMP262165:AMP262166 AWL262165:AWL262166 BGH262165:BGH262166 BQD262165:BQD262166 BZZ262165:BZZ262166 CJV262165:CJV262166 CTR262165:CTR262166 DDN262165:DDN262166 DNJ262165:DNJ262166 DXF262165:DXF262166 EHB262165:EHB262166 EQX262165:EQX262166 FAT262165:FAT262166 FKP262165:FKP262166 FUL262165:FUL262166 GEH262165:GEH262166 GOD262165:GOD262166 GXZ262165:GXZ262166 HHV262165:HHV262166 HRR262165:HRR262166 IBN262165:IBN262166 ILJ262165:ILJ262166 IVF262165:IVF262166 JFB262165:JFB262166 JOX262165:JOX262166 JYT262165:JYT262166 KIP262165:KIP262166 KSL262165:KSL262166 LCH262165:LCH262166 LMD262165:LMD262166 LVZ262165:LVZ262166 MFV262165:MFV262166 MPR262165:MPR262166 MZN262165:MZN262166 NJJ262165:NJJ262166 NTF262165:NTF262166 ODB262165:ODB262166 OMX262165:OMX262166 OWT262165:OWT262166 PGP262165:PGP262166 PQL262165:PQL262166 QAH262165:QAH262166 QKD262165:QKD262166 QTZ262165:QTZ262166 RDV262165:RDV262166 RNR262165:RNR262166 RXN262165:RXN262166 SHJ262165:SHJ262166 SRF262165:SRF262166 TBB262165:TBB262166 TKX262165:TKX262166 TUT262165:TUT262166 UEP262165:UEP262166 UOL262165:UOL262166 UYH262165:UYH262166 VID262165:VID262166 VRZ262165:VRZ262166 WBV262165:WBV262166 WLR262165:WLR262166 WVN262165:WVN262166 D327701:D327702 JB327701:JB327702 SX327701:SX327702 ACT327701:ACT327702 AMP327701:AMP327702 AWL327701:AWL327702 BGH327701:BGH327702 BQD327701:BQD327702 BZZ327701:BZZ327702 CJV327701:CJV327702 CTR327701:CTR327702 DDN327701:DDN327702 DNJ327701:DNJ327702 DXF327701:DXF327702 EHB327701:EHB327702 EQX327701:EQX327702 FAT327701:FAT327702 FKP327701:FKP327702 FUL327701:FUL327702 GEH327701:GEH327702 GOD327701:GOD327702 GXZ327701:GXZ327702 HHV327701:HHV327702 HRR327701:HRR327702 IBN327701:IBN327702 ILJ327701:ILJ327702 IVF327701:IVF327702 JFB327701:JFB327702 JOX327701:JOX327702 JYT327701:JYT327702 KIP327701:KIP327702 KSL327701:KSL327702 LCH327701:LCH327702 LMD327701:LMD327702 LVZ327701:LVZ327702 MFV327701:MFV327702 MPR327701:MPR327702 MZN327701:MZN327702 NJJ327701:NJJ327702 NTF327701:NTF327702 ODB327701:ODB327702 OMX327701:OMX327702 OWT327701:OWT327702 PGP327701:PGP327702 PQL327701:PQL327702 QAH327701:QAH327702 QKD327701:QKD327702 QTZ327701:QTZ327702 RDV327701:RDV327702 RNR327701:RNR327702 RXN327701:RXN327702 SHJ327701:SHJ327702 SRF327701:SRF327702 TBB327701:TBB327702 TKX327701:TKX327702 TUT327701:TUT327702 UEP327701:UEP327702 UOL327701:UOL327702 UYH327701:UYH327702 VID327701:VID327702 VRZ327701:VRZ327702 WBV327701:WBV327702 WLR327701:WLR327702 WVN327701:WVN327702 D393237:D393238 JB393237:JB393238 SX393237:SX393238 ACT393237:ACT393238 AMP393237:AMP393238 AWL393237:AWL393238 BGH393237:BGH393238 BQD393237:BQD393238 BZZ393237:BZZ393238 CJV393237:CJV393238 CTR393237:CTR393238 DDN393237:DDN393238 DNJ393237:DNJ393238 DXF393237:DXF393238 EHB393237:EHB393238 EQX393237:EQX393238 FAT393237:FAT393238 FKP393237:FKP393238 FUL393237:FUL393238 GEH393237:GEH393238 GOD393237:GOD393238 GXZ393237:GXZ393238 HHV393237:HHV393238 HRR393237:HRR393238 IBN393237:IBN393238 ILJ393237:ILJ393238 IVF393237:IVF393238 JFB393237:JFB393238 JOX393237:JOX393238 JYT393237:JYT393238 KIP393237:KIP393238 KSL393237:KSL393238 LCH393237:LCH393238 LMD393237:LMD393238 LVZ393237:LVZ393238 MFV393237:MFV393238 MPR393237:MPR393238 MZN393237:MZN393238 NJJ393237:NJJ393238 NTF393237:NTF393238 ODB393237:ODB393238 OMX393237:OMX393238 OWT393237:OWT393238 PGP393237:PGP393238 PQL393237:PQL393238 QAH393237:QAH393238 QKD393237:QKD393238 QTZ393237:QTZ393238 RDV393237:RDV393238 RNR393237:RNR393238 RXN393237:RXN393238 SHJ393237:SHJ393238 SRF393237:SRF393238 TBB393237:TBB393238 TKX393237:TKX393238 TUT393237:TUT393238 UEP393237:UEP393238 UOL393237:UOL393238 UYH393237:UYH393238 VID393237:VID393238 VRZ393237:VRZ393238 WBV393237:WBV393238 WLR393237:WLR393238 WVN393237:WVN393238 D458773:D458774 JB458773:JB458774 SX458773:SX458774 ACT458773:ACT458774 AMP458773:AMP458774 AWL458773:AWL458774 BGH458773:BGH458774 BQD458773:BQD458774 BZZ458773:BZZ458774 CJV458773:CJV458774 CTR458773:CTR458774 DDN458773:DDN458774 DNJ458773:DNJ458774 DXF458773:DXF458774 EHB458773:EHB458774 EQX458773:EQX458774 FAT458773:FAT458774 FKP458773:FKP458774 FUL458773:FUL458774 GEH458773:GEH458774 GOD458773:GOD458774 GXZ458773:GXZ458774 HHV458773:HHV458774 HRR458773:HRR458774 IBN458773:IBN458774 ILJ458773:ILJ458774 IVF458773:IVF458774 JFB458773:JFB458774 JOX458773:JOX458774 JYT458773:JYT458774 KIP458773:KIP458774 KSL458773:KSL458774 LCH458773:LCH458774 LMD458773:LMD458774 LVZ458773:LVZ458774 MFV458773:MFV458774 MPR458773:MPR458774 MZN458773:MZN458774 NJJ458773:NJJ458774 NTF458773:NTF458774 ODB458773:ODB458774 OMX458773:OMX458774 OWT458773:OWT458774 PGP458773:PGP458774 PQL458773:PQL458774 QAH458773:QAH458774 QKD458773:QKD458774 QTZ458773:QTZ458774 RDV458773:RDV458774 RNR458773:RNR458774 RXN458773:RXN458774 SHJ458773:SHJ458774 SRF458773:SRF458774 TBB458773:TBB458774 TKX458773:TKX458774 TUT458773:TUT458774 UEP458773:UEP458774 UOL458773:UOL458774 UYH458773:UYH458774 VID458773:VID458774 VRZ458773:VRZ458774 WBV458773:WBV458774 WLR458773:WLR458774 WVN458773:WVN458774 D524309:D524310 JB524309:JB524310 SX524309:SX524310 ACT524309:ACT524310 AMP524309:AMP524310 AWL524309:AWL524310 BGH524309:BGH524310 BQD524309:BQD524310 BZZ524309:BZZ524310 CJV524309:CJV524310 CTR524309:CTR524310 DDN524309:DDN524310 DNJ524309:DNJ524310 DXF524309:DXF524310 EHB524309:EHB524310 EQX524309:EQX524310 FAT524309:FAT524310 FKP524309:FKP524310 FUL524309:FUL524310 GEH524309:GEH524310 GOD524309:GOD524310 GXZ524309:GXZ524310 HHV524309:HHV524310 HRR524309:HRR524310 IBN524309:IBN524310 ILJ524309:ILJ524310 IVF524309:IVF524310 JFB524309:JFB524310 JOX524309:JOX524310 JYT524309:JYT524310 KIP524309:KIP524310 KSL524309:KSL524310 LCH524309:LCH524310 LMD524309:LMD524310 LVZ524309:LVZ524310 MFV524309:MFV524310 MPR524309:MPR524310 MZN524309:MZN524310 NJJ524309:NJJ524310 NTF524309:NTF524310 ODB524309:ODB524310 OMX524309:OMX524310 OWT524309:OWT524310 PGP524309:PGP524310 PQL524309:PQL524310 QAH524309:QAH524310 QKD524309:QKD524310 QTZ524309:QTZ524310 RDV524309:RDV524310 RNR524309:RNR524310 RXN524309:RXN524310 SHJ524309:SHJ524310 SRF524309:SRF524310 TBB524309:TBB524310 TKX524309:TKX524310 TUT524309:TUT524310 UEP524309:UEP524310 UOL524309:UOL524310 UYH524309:UYH524310 VID524309:VID524310 VRZ524309:VRZ524310 WBV524309:WBV524310 WLR524309:WLR524310 WVN524309:WVN524310 D589845:D589846 JB589845:JB589846 SX589845:SX589846 ACT589845:ACT589846 AMP589845:AMP589846 AWL589845:AWL589846 BGH589845:BGH589846 BQD589845:BQD589846 BZZ589845:BZZ589846 CJV589845:CJV589846 CTR589845:CTR589846 DDN589845:DDN589846 DNJ589845:DNJ589846 DXF589845:DXF589846 EHB589845:EHB589846 EQX589845:EQX589846 FAT589845:FAT589846 FKP589845:FKP589846 FUL589845:FUL589846 GEH589845:GEH589846 GOD589845:GOD589846 GXZ589845:GXZ589846 HHV589845:HHV589846 HRR589845:HRR589846 IBN589845:IBN589846 ILJ589845:ILJ589846 IVF589845:IVF589846 JFB589845:JFB589846 JOX589845:JOX589846 JYT589845:JYT589846 KIP589845:KIP589846 KSL589845:KSL589846 LCH589845:LCH589846 LMD589845:LMD589846 LVZ589845:LVZ589846 MFV589845:MFV589846 MPR589845:MPR589846 MZN589845:MZN589846 NJJ589845:NJJ589846 NTF589845:NTF589846 ODB589845:ODB589846 OMX589845:OMX589846 OWT589845:OWT589846 PGP589845:PGP589846 PQL589845:PQL589846 QAH589845:QAH589846 QKD589845:QKD589846 QTZ589845:QTZ589846 RDV589845:RDV589846 RNR589845:RNR589846 RXN589845:RXN589846 SHJ589845:SHJ589846 SRF589845:SRF589846 TBB589845:TBB589846 TKX589845:TKX589846 TUT589845:TUT589846 UEP589845:UEP589846 UOL589845:UOL589846 UYH589845:UYH589846 VID589845:VID589846 VRZ589845:VRZ589846 WBV589845:WBV589846 WLR589845:WLR589846 WVN589845:WVN589846 D655381:D655382 JB655381:JB655382 SX655381:SX655382 ACT655381:ACT655382 AMP655381:AMP655382 AWL655381:AWL655382 BGH655381:BGH655382 BQD655381:BQD655382 BZZ655381:BZZ655382 CJV655381:CJV655382 CTR655381:CTR655382 DDN655381:DDN655382 DNJ655381:DNJ655382 DXF655381:DXF655382 EHB655381:EHB655382 EQX655381:EQX655382 FAT655381:FAT655382 FKP655381:FKP655382 FUL655381:FUL655382 GEH655381:GEH655382 GOD655381:GOD655382 GXZ655381:GXZ655382 HHV655381:HHV655382 HRR655381:HRR655382 IBN655381:IBN655382 ILJ655381:ILJ655382 IVF655381:IVF655382 JFB655381:JFB655382 JOX655381:JOX655382 JYT655381:JYT655382 KIP655381:KIP655382 KSL655381:KSL655382 LCH655381:LCH655382 LMD655381:LMD655382 LVZ655381:LVZ655382 MFV655381:MFV655382 MPR655381:MPR655382 MZN655381:MZN655382 NJJ655381:NJJ655382 NTF655381:NTF655382 ODB655381:ODB655382 OMX655381:OMX655382 OWT655381:OWT655382 PGP655381:PGP655382 PQL655381:PQL655382 QAH655381:QAH655382 QKD655381:QKD655382 QTZ655381:QTZ655382 RDV655381:RDV655382 RNR655381:RNR655382 RXN655381:RXN655382 SHJ655381:SHJ655382 SRF655381:SRF655382 TBB655381:TBB655382 TKX655381:TKX655382 TUT655381:TUT655382 UEP655381:UEP655382 UOL655381:UOL655382 UYH655381:UYH655382 VID655381:VID655382 VRZ655381:VRZ655382 WBV655381:WBV655382 WLR655381:WLR655382 WVN655381:WVN655382 D720917:D720918 JB720917:JB720918 SX720917:SX720918 ACT720917:ACT720918 AMP720917:AMP720918 AWL720917:AWL720918 BGH720917:BGH720918 BQD720917:BQD720918 BZZ720917:BZZ720918 CJV720917:CJV720918 CTR720917:CTR720918 DDN720917:DDN720918 DNJ720917:DNJ720918 DXF720917:DXF720918 EHB720917:EHB720918 EQX720917:EQX720918 FAT720917:FAT720918 FKP720917:FKP720918 FUL720917:FUL720918 GEH720917:GEH720918 GOD720917:GOD720918 GXZ720917:GXZ720918 HHV720917:HHV720918 HRR720917:HRR720918 IBN720917:IBN720918 ILJ720917:ILJ720918 IVF720917:IVF720918 JFB720917:JFB720918 JOX720917:JOX720918 JYT720917:JYT720918 KIP720917:KIP720918 KSL720917:KSL720918 LCH720917:LCH720918 LMD720917:LMD720918 LVZ720917:LVZ720918 MFV720917:MFV720918 MPR720917:MPR720918 MZN720917:MZN720918 NJJ720917:NJJ720918 NTF720917:NTF720918 ODB720917:ODB720918 OMX720917:OMX720918 OWT720917:OWT720918 PGP720917:PGP720918 PQL720917:PQL720918 QAH720917:QAH720918 QKD720917:QKD720918 QTZ720917:QTZ720918 RDV720917:RDV720918 RNR720917:RNR720918 RXN720917:RXN720918 SHJ720917:SHJ720918 SRF720917:SRF720918 TBB720917:TBB720918 TKX720917:TKX720918 TUT720917:TUT720918 UEP720917:UEP720918 UOL720917:UOL720918 UYH720917:UYH720918 VID720917:VID720918 VRZ720917:VRZ720918 WBV720917:WBV720918 WLR720917:WLR720918 WVN720917:WVN720918 D786453:D786454 JB786453:JB786454 SX786453:SX786454 ACT786453:ACT786454 AMP786453:AMP786454 AWL786453:AWL786454 BGH786453:BGH786454 BQD786453:BQD786454 BZZ786453:BZZ786454 CJV786453:CJV786454 CTR786453:CTR786454 DDN786453:DDN786454 DNJ786453:DNJ786454 DXF786453:DXF786454 EHB786453:EHB786454 EQX786453:EQX786454 FAT786453:FAT786454 FKP786453:FKP786454 FUL786453:FUL786454 GEH786453:GEH786454 GOD786453:GOD786454 GXZ786453:GXZ786454 HHV786453:HHV786454 HRR786453:HRR786454 IBN786453:IBN786454 ILJ786453:ILJ786454 IVF786453:IVF786454 JFB786453:JFB786454 JOX786453:JOX786454 JYT786453:JYT786454 KIP786453:KIP786454 KSL786453:KSL786454 LCH786453:LCH786454 LMD786453:LMD786454 LVZ786453:LVZ786454 MFV786453:MFV786454 MPR786453:MPR786454 MZN786453:MZN786454 NJJ786453:NJJ786454 NTF786453:NTF786454 ODB786453:ODB786454 OMX786453:OMX786454 OWT786453:OWT786454 PGP786453:PGP786454 PQL786453:PQL786454 QAH786453:QAH786454 QKD786453:QKD786454 QTZ786453:QTZ786454 RDV786453:RDV786454 RNR786453:RNR786454 RXN786453:RXN786454 SHJ786453:SHJ786454 SRF786453:SRF786454 TBB786453:TBB786454 TKX786453:TKX786454 TUT786453:TUT786454 UEP786453:UEP786454 UOL786453:UOL786454 UYH786453:UYH786454 VID786453:VID786454 VRZ786453:VRZ786454 WBV786453:WBV786454 WLR786453:WLR786454 WVN786453:WVN786454 D851989:D851990 JB851989:JB851990 SX851989:SX851990 ACT851989:ACT851990 AMP851989:AMP851990 AWL851989:AWL851990 BGH851989:BGH851990 BQD851989:BQD851990 BZZ851989:BZZ851990 CJV851989:CJV851990 CTR851989:CTR851990 DDN851989:DDN851990 DNJ851989:DNJ851990 DXF851989:DXF851990 EHB851989:EHB851990 EQX851989:EQX851990 FAT851989:FAT851990 FKP851989:FKP851990 FUL851989:FUL851990 GEH851989:GEH851990 GOD851989:GOD851990 GXZ851989:GXZ851990 HHV851989:HHV851990 HRR851989:HRR851990 IBN851989:IBN851990 ILJ851989:ILJ851990 IVF851989:IVF851990 JFB851989:JFB851990 JOX851989:JOX851990 JYT851989:JYT851990 KIP851989:KIP851990 KSL851989:KSL851990 LCH851989:LCH851990 LMD851989:LMD851990 LVZ851989:LVZ851990 MFV851989:MFV851990 MPR851989:MPR851990 MZN851989:MZN851990 NJJ851989:NJJ851990 NTF851989:NTF851990 ODB851989:ODB851990 OMX851989:OMX851990 OWT851989:OWT851990 PGP851989:PGP851990 PQL851989:PQL851990 QAH851989:QAH851990 QKD851989:QKD851990 QTZ851989:QTZ851990 RDV851989:RDV851990 RNR851989:RNR851990 RXN851989:RXN851990 SHJ851989:SHJ851990 SRF851989:SRF851990 TBB851989:TBB851990 TKX851989:TKX851990 TUT851989:TUT851990 UEP851989:UEP851990 UOL851989:UOL851990 UYH851989:UYH851990 VID851989:VID851990 VRZ851989:VRZ851990 WBV851989:WBV851990 WLR851989:WLR851990 WVN851989:WVN851990 D917525:D917526 JB917525:JB917526 SX917525:SX917526 ACT917525:ACT917526 AMP917525:AMP917526 AWL917525:AWL917526 BGH917525:BGH917526 BQD917525:BQD917526 BZZ917525:BZZ917526 CJV917525:CJV917526 CTR917525:CTR917526 DDN917525:DDN917526 DNJ917525:DNJ917526 DXF917525:DXF917526 EHB917525:EHB917526 EQX917525:EQX917526 FAT917525:FAT917526 FKP917525:FKP917526 FUL917525:FUL917526 GEH917525:GEH917526 GOD917525:GOD917526 GXZ917525:GXZ917526 HHV917525:HHV917526 HRR917525:HRR917526 IBN917525:IBN917526 ILJ917525:ILJ917526 IVF917525:IVF917526 JFB917525:JFB917526 JOX917525:JOX917526 JYT917525:JYT917526 KIP917525:KIP917526 KSL917525:KSL917526 LCH917525:LCH917526 LMD917525:LMD917526 LVZ917525:LVZ917526 MFV917525:MFV917526 MPR917525:MPR917526 MZN917525:MZN917526 NJJ917525:NJJ917526 NTF917525:NTF917526 ODB917525:ODB917526 OMX917525:OMX917526 OWT917525:OWT917526 PGP917525:PGP917526 PQL917525:PQL917526 QAH917525:QAH917526 QKD917525:QKD917526 QTZ917525:QTZ917526 RDV917525:RDV917526 RNR917525:RNR917526 RXN917525:RXN917526 SHJ917525:SHJ917526 SRF917525:SRF917526 TBB917525:TBB917526 TKX917525:TKX917526 TUT917525:TUT917526 UEP917525:UEP917526 UOL917525:UOL917526 UYH917525:UYH917526 VID917525:VID917526 VRZ917525:VRZ917526 WBV917525:WBV917526 WLR917525:WLR917526 WVN917525:WVN917526 D983061:D983062 JB983061:JB983062 SX983061:SX983062 ACT983061:ACT983062 AMP983061:AMP983062 AWL983061:AWL983062 BGH983061:BGH983062 BQD983061:BQD983062 BZZ983061:BZZ983062 CJV983061:CJV983062 CTR983061:CTR983062 DDN983061:DDN983062 DNJ983061:DNJ983062 DXF983061:DXF983062 EHB983061:EHB983062 EQX983061:EQX983062 FAT983061:FAT983062 FKP983061:FKP983062 FUL983061:FUL983062 GEH983061:GEH983062 GOD983061:GOD983062 GXZ983061:GXZ983062 HHV983061:HHV983062 HRR983061:HRR983062 IBN983061:IBN983062 ILJ983061:ILJ983062 IVF983061:IVF983062 JFB983061:JFB983062 JOX983061:JOX983062 JYT983061:JYT983062 KIP983061:KIP983062 KSL983061:KSL983062 LCH983061:LCH983062 LMD983061:LMD983062 LVZ983061:LVZ983062 MFV983061:MFV983062 MPR983061:MPR983062 MZN983061:MZN983062 NJJ983061:NJJ983062 NTF983061:NTF983062 ODB983061:ODB983062 OMX983061:OMX983062 OWT983061:OWT983062 PGP983061:PGP983062 PQL983061:PQL983062 QAH983061:QAH983062 QKD983061:QKD983062 QTZ983061:QTZ983062 RDV983061:RDV983062 RNR983061:RNR983062 RXN983061:RXN983062 SHJ983061:SHJ983062 SRF983061:SRF983062 TBB983061:TBB983062 TKX983061:TKX983062 TUT983061:TUT983062 UEP983061:UEP983062 UOL983061:UOL983062 UYH983061:UYH983062 VID983061:VID983062 VRZ983061:VRZ983062 WBV983061:WBV983062 WLR983061:WLR983062 WVN983061:WVN983062">
      <formula1>$AD$3:$AD$4</formula1>
    </dataValidation>
    <dataValidation type="list" allowBlank="1" showInputMessage="1" showErrorMessage="1" sqref="I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I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I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I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I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I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I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I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I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I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I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I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I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I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I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I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formula1>$AB$6:$AB$7</formula1>
    </dataValidation>
    <dataValidation type="list" allowBlank="1" showInputMessage="1" showErrorMessage="1" sqref="D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D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D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D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D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D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D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D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D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D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D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D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D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D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D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D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ormula1>$AF$3:$AF$4</formula1>
    </dataValidation>
    <dataValidation type="list" allowBlank="1" showInputMessage="1" showErrorMessage="1" sqref="D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D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D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D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D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D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D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D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D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D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D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D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D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D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D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D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ormula1>$AD$6:$AD$7</formula1>
    </dataValidation>
    <dataValidation type="list" allowBlank="1" showInputMessage="1" showErrorMessage="1" sqref="F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F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F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F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F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F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F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F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F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F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F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F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F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F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F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F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formula1>$Z$13:$AE$13</formula1>
    </dataValidation>
    <dataValidation type="list" allowBlank="1" showInputMessage="1" showErrorMessage="1" sqref="F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F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F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F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F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F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F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F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F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F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F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F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F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F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F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F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formula1>$Y$16:$Y$22</formula1>
    </dataValidation>
  </dataValidations>
  <hyperlinks>
    <hyperlink ref="R39"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X69"/>
  <sheetViews>
    <sheetView topLeftCell="A4" workbookViewId="0">
      <selection activeCell="O28" sqref="O28"/>
    </sheetView>
  </sheetViews>
  <sheetFormatPr defaultRowHeight="15"/>
  <cols>
    <col min="1" max="1" width="3.5703125" customWidth="1"/>
    <col min="7" max="7" width="6" customWidth="1"/>
    <col min="12" max="12" width="6" customWidth="1"/>
    <col min="15" max="15" width="11" customWidth="1"/>
    <col min="255" max="255" width="3.5703125" customWidth="1"/>
    <col min="261" max="261" width="6" customWidth="1"/>
    <col min="266" max="266" width="6" customWidth="1"/>
    <col min="271" max="271" width="6" customWidth="1"/>
    <col min="278" max="278" width="11" customWidth="1"/>
    <col min="511" max="511" width="3.5703125" customWidth="1"/>
    <col min="517" max="517" width="6" customWidth="1"/>
    <col min="522" max="522" width="6" customWidth="1"/>
    <col min="527" max="527" width="6" customWidth="1"/>
    <col min="534" max="534" width="11" customWidth="1"/>
    <col min="767" max="767" width="3.5703125" customWidth="1"/>
    <col min="773" max="773" width="6" customWidth="1"/>
    <col min="778" max="778" width="6" customWidth="1"/>
    <col min="783" max="783" width="6" customWidth="1"/>
    <col min="790" max="790" width="11" customWidth="1"/>
    <col min="1023" max="1023" width="3.5703125" customWidth="1"/>
    <col min="1029" max="1029" width="6" customWidth="1"/>
    <col min="1034" max="1034" width="6" customWidth="1"/>
    <col min="1039" max="1039" width="6" customWidth="1"/>
    <col min="1046" max="1046" width="11" customWidth="1"/>
    <col min="1279" max="1279" width="3.5703125" customWidth="1"/>
    <col min="1285" max="1285" width="6" customWidth="1"/>
    <col min="1290" max="1290" width="6" customWidth="1"/>
    <col min="1295" max="1295" width="6" customWidth="1"/>
    <col min="1302" max="1302" width="11" customWidth="1"/>
    <col min="1535" max="1535" width="3.5703125" customWidth="1"/>
    <col min="1541" max="1541" width="6" customWidth="1"/>
    <col min="1546" max="1546" width="6" customWidth="1"/>
    <col min="1551" max="1551" width="6" customWidth="1"/>
    <col min="1558" max="1558" width="11" customWidth="1"/>
    <col min="1791" max="1791" width="3.5703125" customWidth="1"/>
    <col min="1797" max="1797" width="6" customWidth="1"/>
    <col min="1802" max="1802" width="6" customWidth="1"/>
    <col min="1807" max="1807" width="6" customWidth="1"/>
    <col min="1814" max="1814" width="11" customWidth="1"/>
    <col min="2047" max="2047" width="3.5703125" customWidth="1"/>
    <col min="2053" max="2053" width="6" customWidth="1"/>
    <col min="2058" max="2058" width="6" customWidth="1"/>
    <col min="2063" max="2063" width="6" customWidth="1"/>
    <col min="2070" max="2070" width="11" customWidth="1"/>
    <col min="2303" max="2303" width="3.5703125" customWidth="1"/>
    <col min="2309" max="2309" width="6" customWidth="1"/>
    <col min="2314" max="2314" width="6" customWidth="1"/>
    <col min="2319" max="2319" width="6" customWidth="1"/>
    <col min="2326" max="2326" width="11" customWidth="1"/>
    <col min="2559" max="2559" width="3.5703125" customWidth="1"/>
    <col min="2565" max="2565" width="6" customWidth="1"/>
    <col min="2570" max="2570" width="6" customWidth="1"/>
    <col min="2575" max="2575" width="6" customWidth="1"/>
    <col min="2582" max="2582" width="11" customWidth="1"/>
    <col min="2815" max="2815" width="3.5703125" customWidth="1"/>
    <col min="2821" max="2821" width="6" customWidth="1"/>
    <col min="2826" max="2826" width="6" customWidth="1"/>
    <col min="2831" max="2831" width="6" customWidth="1"/>
    <col min="2838" max="2838" width="11" customWidth="1"/>
    <col min="3071" max="3071" width="3.5703125" customWidth="1"/>
    <col min="3077" max="3077" width="6" customWidth="1"/>
    <col min="3082" max="3082" width="6" customWidth="1"/>
    <col min="3087" max="3087" width="6" customWidth="1"/>
    <col min="3094" max="3094" width="11" customWidth="1"/>
    <col min="3327" max="3327" width="3.5703125" customWidth="1"/>
    <col min="3333" max="3333" width="6" customWidth="1"/>
    <col min="3338" max="3338" width="6" customWidth="1"/>
    <col min="3343" max="3343" width="6" customWidth="1"/>
    <col min="3350" max="3350" width="11" customWidth="1"/>
    <col min="3583" max="3583" width="3.5703125" customWidth="1"/>
    <col min="3589" max="3589" width="6" customWidth="1"/>
    <col min="3594" max="3594" width="6" customWidth="1"/>
    <col min="3599" max="3599" width="6" customWidth="1"/>
    <col min="3606" max="3606" width="11" customWidth="1"/>
    <col min="3839" max="3839" width="3.5703125" customWidth="1"/>
    <col min="3845" max="3845" width="6" customWidth="1"/>
    <col min="3850" max="3850" width="6" customWidth="1"/>
    <col min="3855" max="3855" width="6" customWidth="1"/>
    <col min="3862" max="3862" width="11" customWidth="1"/>
    <col min="4095" max="4095" width="3.5703125" customWidth="1"/>
    <col min="4101" max="4101" width="6" customWidth="1"/>
    <col min="4106" max="4106" width="6" customWidth="1"/>
    <col min="4111" max="4111" width="6" customWidth="1"/>
    <col min="4118" max="4118" width="11" customWidth="1"/>
    <col min="4351" max="4351" width="3.5703125" customWidth="1"/>
    <col min="4357" max="4357" width="6" customWidth="1"/>
    <col min="4362" max="4362" width="6" customWidth="1"/>
    <col min="4367" max="4367" width="6" customWidth="1"/>
    <col min="4374" max="4374" width="11" customWidth="1"/>
    <col min="4607" max="4607" width="3.5703125" customWidth="1"/>
    <col min="4613" max="4613" width="6" customWidth="1"/>
    <col min="4618" max="4618" width="6" customWidth="1"/>
    <col min="4623" max="4623" width="6" customWidth="1"/>
    <col min="4630" max="4630" width="11" customWidth="1"/>
    <col min="4863" max="4863" width="3.5703125" customWidth="1"/>
    <col min="4869" max="4869" width="6" customWidth="1"/>
    <col min="4874" max="4874" width="6" customWidth="1"/>
    <col min="4879" max="4879" width="6" customWidth="1"/>
    <col min="4886" max="4886" width="11" customWidth="1"/>
    <col min="5119" max="5119" width="3.5703125" customWidth="1"/>
    <col min="5125" max="5125" width="6" customWidth="1"/>
    <col min="5130" max="5130" width="6" customWidth="1"/>
    <col min="5135" max="5135" width="6" customWidth="1"/>
    <col min="5142" max="5142" width="11" customWidth="1"/>
    <col min="5375" max="5375" width="3.5703125" customWidth="1"/>
    <col min="5381" max="5381" width="6" customWidth="1"/>
    <col min="5386" max="5386" width="6" customWidth="1"/>
    <col min="5391" max="5391" width="6" customWidth="1"/>
    <col min="5398" max="5398" width="11" customWidth="1"/>
    <col min="5631" max="5631" width="3.5703125" customWidth="1"/>
    <col min="5637" max="5637" width="6" customWidth="1"/>
    <col min="5642" max="5642" width="6" customWidth="1"/>
    <col min="5647" max="5647" width="6" customWidth="1"/>
    <col min="5654" max="5654" width="11" customWidth="1"/>
    <col min="5887" max="5887" width="3.5703125" customWidth="1"/>
    <col min="5893" max="5893" width="6" customWidth="1"/>
    <col min="5898" max="5898" width="6" customWidth="1"/>
    <col min="5903" max="5903" width="6" customWidth="1"/>
    <col min="5910" max="5910" width="11" customWidth="1"/>
    <col min="6143" max="6143" width="3.5703125" customWidth="1"/>
    <col min="6149" max="6149" width="6" customWidth="1"/>
    <col min="6154" max="6154" width="6" customWidth="1"/>
    <col min="6159" max="6159" width="6" customWidth="1"/>
    <col min="6166" max="6166" width="11" customWidth="1"/>
    <col min="6399" max="6399" width="3.5703125" customWidth="1"/>
    <col min="6405" max="6405" width="6" customWidth="1"/>
    <col min="6410" max="6410" width="6" customWidth="1"/>
    <col min="6415" max="6415" width="6" customWidth="1"/>
    <col min="6422" max="6422" width="11" customWidth="1"/>
    <col min="6655" max="6655" width="3.5703125" customWidth="1"/>
    <col min="6661" max="6661" width="6" customWidth="1"/>
    <col min="6666" max="6666" width="6" customWidth="1"/>
    <col min="6671" max="6671" width="6" customWidth="1"/>
    <col min="6678" max="6678" width="11" customWidth="1"/>
    <col min="6911" max="6911" width="3.5703125" customWidth="1"/>
    <col min="6917" max="6917" width="6" customWidth="1"/>
    <col min="6922" max="6922" width="6" customWidth="1"/>
    <col min="6927" max="6927" width="6" customWidth="1"/>
    <col min="6934" max="6934" width="11" customWidth="1"/>
    <col min="7167" max="7167" width="3.5703125" customWidth="1"/>
    <col min="7173" max="7173" width="6" customWidth="1"/>
    <col min="7178" max="7178" width="6" customWidth="1"/>
    <col min="7183" max="7183" width="6" customWidth="1"/>
    <col min="7190" max="7190" width="11" customWidth="1"/>
    <col min="7423" max="7423" width="3.5703125" customWidth="1"/>
    <col min="7429" max="7429" width="6" customWidth="1"/>
    <col min="7434" max="7434" width="6" customWidth="1"/>
    <col min="7439" max="7439" width="6" customWidth="1"/>
    <col min="7446" max="7446" width="11" customWidth="1"/>
    <col min="7679" max="7679" width="3.5703125" customWidth="1"/>
    <col min="7685" max="7685" width="6" customWidth="1"/>
    <col min="7690" max="7690" width="6" customWidth="1"/>
    <col min="7695" max="7695" width="6" customWidth="1"/>
    <col min="7702" max="7702" width="11" customWidth="1"/>
    <col min="7935" max="7935" width="3.5703125" customWidth="1"/>
    <col min="7941" max="7941" width="6" customWidth="1"/>
    <col min="7946" max="7946" width="6" customWidth="1"/>
    <col min="7951" max="7951" width="6" customWidth="1"/>
    <col min="7958" max="7958" width="11" customWidth="1"/>
    <col min="8191" max="8191" width="3.5703125" customWidth="1"/>
    <col min="8197" max="8197" width="6" customWidth="1"/>
    <col min="8202" max="8202" width="6" customWidth="1"/>
    <col min="8207" max="8207" width="6" customWidth="1"/>
    <col min="8214" max="8214" width="11" customWidth="1"/>
    <col min="8447" max="8447" width="3.5703125" customWidth="1"/>
    <col min="8453" max="8453" width="6" customWidth="1"/>
    <col min="8458" max="8458" width="6" customWidth="1"/>
    <col min="8463" max="8463" width="6" customWidth="1"/>
    <col min="8470" max="8470" width="11" customWidth="1"/>
    <col min="8703" max="8703" width="3.5703125" customWidth="1"/>
    <col min="8709" max="8709" width="6" customWidth="1"/>
    <col min="8714" max="8714" width="6" customWidth="1"/>
    <col min="8719" max="8719" width="6" customWidth="1"/>
    <col min="8726" max="8726" width="11" customWidth="1"/>
    <col min="8959" max="8959" width="3.5703125" customWidth="1"/>
    <col min="8965" max="8965" width="6" customWidth="1"/>
    <col min="8970" max="8970" width="6" customWidth="1"/>
    <col min="8975" max="8975" width="6" customWidth="1"/>
    <col min="8982" max="8982" width="11" customWidth="1"/>
    <col min="9215" max="9215" width="3.5703125" customWidth="1"/>
    <col min="9221" max="9221" width="6" customWidth="1"/>
    <col min="9226" max="9226" width="6" customWidth="1"/>
    <col min="9231" max="9231" width="6" customWidth="1"/>
    <col min="9238" max="9238" width="11" customWidth="1"/>
    <col min="9471" max="9471" width="3.5703125" customWidth="1"/>
    <col min="9477" max="9477" width="6" customWidth="1"/>
    <col min="9482" max="9482" width="6" customWidth="1"/>
    <col min="9487" max="9487" width="6" customWidth="1"/>
    <col min="9494" max="9494" width="11" customWidth="1"/>
    <col min="9727" max="9727" width="3.5703125" customWidth="1"/>
    <col min="9733" max="9733" width="6" customWidth="1"/>
    <col min="9738" max="9738" width="6" customWidth="1"/>
    <col min="9743" max="9743" width="6" customWidth="1"/>
    <col min="9750" max="9750" width="11" customWidth="1"/>
    <col min="9983" max="9983" width="3.5703125" customWidth="1"/>
    <col min="9989" max="9989" width="6" customWidth="1"/>
    <col min="9994" max="9994" width="6" customWidth="1"/>
    <col min="9999" max="9999" width="6" customWidth="1"/>
    <col min="10006" max="10006" width="11" customWidth="1"/>
    <col min="10239" max="10239" width="3.5703125" customWidth="1"/>
    <col min="10245" max="10245" width="6" customWidth="1"/>
    <col min="10250" max="10250" width="6" customWidth="1"/>
    <col min="10255" max="10255" width="6" customWidth="1"/>
    <col min="10262" max="10262" width="11" customWidth="1"/>
    <col min="10495" max="10495" width="3.5703125" customWidth="1"/>
    <col min="10501" max="10501" width="6" customWidth="1"/>
    <col min="10506" max="10506" width="6" customWidth="1"/>
    <col min="10511" max="10511" width="6" customWidth="1"/>
    <col min="10518" max="10518" width="11" customWidth="1"/>
    <col min="10751" max="10751" width="3.5703125" customWidth="1"/>
    <col min="10757" max="10757" width="6" customWidth="1"/>
    <col min="10762" max="10762" width="6" customWidth="1"/>
    <col min="10767" max="10767" width="6" customWidth="1"/>
    <col min="10774" max="10774" width="11" customWidth="1"/>
    <col min="11007" max="11007" width="3.5703125" customWidth="1"/>
    <col min="11013" max="11013" width="6" customWidth="1"/>
    <col min="11018" max="11018" width="6" customWidth="1"/>
    <col min="11023" max="11023" width="6" customWidth="1"/>
    <col min="11030" max="11030" width="11" customWidth="1"/>
    <col min="11263" max="11263" width="3.5703125" customWidth="1"/>
    <col min="11269" max="11269" width="6" customWidth="1"/>
    <col min="11274" max="11274" width="6" customWidth="1"/>
    <col min="11279" max="11279" width="6" customWidth="1"/>
    <col min="11286" max="11286" width="11" customWidth="1"/>
    <col min="11519" max="11519" width="3.5703125" customWidth="1"/>
    <col min="11525" max="11525" width="6" customWidth="1"/>
    <col min="11530" max="11530" width="6" customWidth="1"/>
    <col min="11535" max="11535" width="6" customWidth="1"/>
    <col min="11542" max="11542" width="11" customWidth="1"/>
    <col min="11775" max="11775" width="3.5703125" customWidth="1"/>
    <col min="11781" max="11781" width="6" customWidth="1"/>
    <col min="11786" max="11786" width="6" customWidth="1"/>
    <col min="11791" max="11791" width="6" customWidth="1"/>
    <col min="11798" max="11798" width="11" customWidth="1"/>
    <col min="12031" max="12031" width="3.5703125" customWidth="1"/>
    <col min="12037" max="12037" width="6" customWidth="1"/>
    <col min="12042" max="12042" width="6" customWidth="1"/>
    <col min="12047" max="12047" width="6" customWidth="1"/>
    <col min="12054" max="12054" width="11" customWidth="1"/>
    <col min="12287" max="12287" width="3.5703125" customWidth="1"/>
    <col min="12293" max="12293" width="6" customWidth="1"/>
    <col min="12298" max="12298" width="6" customWidth="1"/>
    <col min="12303" max="12303" width="6" customWidth="1"/>
    <col min="12310" max="12310" width="11" customWidth="1"/>
    <col min="12543" max="12543" width="3.5703125" customWidth="1"/>
    <col min="12549" max="12549" width="6" customWidth="1"/>
    <col min="12554" max="12554" width="6" customWidth="1"/>
    <col min="12559" max="12559" width="6" customWidth="1"/>
    <col min="12566" max="12566" width="11" customWidth="1"/>
    <col min="12799" max="12799" width="3.5703125" customWidth="1"/>
    <col min="12805" max="12805" width="6" customWidth="1"/>
    <col min="12810" max="12810" width="6" customWidth="1"/>
    <col min="12815" max="12815" width="6" customWidth="1"/>
    <col min="12822" max="12822" width="11" customWidth="1"/>
    <col min="13055" max="13055" width="3.5703125" customWidth="1"/>
    <col min="13061" max="13061" width="6" customWidth="1"/>
    <col min="13066" max="13066" width="6" customWidth="1"/>
    <col min="13071" max="13071" width="6" customWidth="1"/>
    <col min="13078" max="13078" width="11" customWidth="1"/>
    <col min="13311" max="13311" width="3.5703125" customWidth="1"/>
    <col min="13317" max="13317" width="6" customWidth="1"/>
    <col min="13322" max="13322" width="6" customWidth="1"/>
    <col min="13327" max="13327" width="6" customWidth="1"/>
    <col min="13334" max="13334" width="11" customWidth="1"/>
    <col min="13567" max="13567" width="3.5703125" customWidth="1"/>
    <col min="13573" max="13573" width="6" customWidth="1"/>
    <col min="13578" max="13578" width="6" customWidth="1"/>
    <col min="13583" max="13583" width="6" customWidth="1"/>
    <col min="13590" max="13590" width="11" customWidth="1"/>
    <col min="13823" max="13823" width="3.5703125" customWidth="1"/>
    <col min="13829" max="13829" width="6" customWidth="1"/>
    <col min="13834" max="13834" width="6" customWidth="1"/>
    <col min="13839" max="13839" width="6" customWidth="1"/>
    <col min="13846" max="13846" width="11" customWidth="1"/>
    <col min="14079" max="14079" width="3.5703125" customWidth="1"/>
    <col min="14085" max="14085" width="6" customWidth="1"/>
    <col min="14090" max="14090" width="6" customWidth="1"/>
    <col min="14095" max="14095" width="6" customWidth="1"/>
    <col min="14102" max="14102" width="11" customWidth="1"/>
    <col min="14335" max="14335" width="3.5703125" customWidth="1"/>
    <col min="14341" max="14341" width="6" customWidth="1"/>
    <col min="14346" max="14346" width="6" customWidth="1"/>
    <col min="14351" max="14351" width="6" customWidth="1"/>
    <col min="14358" max="14358" width="11" customWidth="1"/>
    <col min="14591" max="14591" width="3.5703125" customWidth="1"/>
    <col min="14597" max="14597" width="6" customWidth="1"/>
    <col min="14602" max="14602" width="6" customWidth="1"/>
    <col min="14607" max="14607" width="6" customWidth="1"/>
    <col min="14614" max="14614" width="11" customWidth="1"/>
    <col min="14847" max="14847" width="3.5703125" customWidth="1"/>
    <col min="14853" max="14853" width="6" customWidth="1"/>
    <col min="14858" max="14858" width="6" customWidth="1"/>
    <col min="14863" max="14863" width="6" customWidth="1"/>
    <col min="14870" max="14870" width="11" customWidth="1"/>
    <col min="15103" max="15103" width="3.5703125" customWidth="1"/>
    <col min="15109" max="15109" width="6" customWidth="1"/>
    <col min="15114" max="15114" width="6" customWidth="1"/>
    <col min="15119" max="15119" width="6" customWidth="1"/>
    <col min="15126" max="15126" width="11" customWidth="1"/>
    <col min="15359" max="15359" width="3.5703125" customWidth="1"/>
    <col min="15365" max="15365" width="6" customWidth="1"/>
    <col min="15370" max="15370" width="6" customWidth="1"/>
    <col min="15375" max="15375" width="6" customWidth="1"/>
    <col min="15382" max="15382" width="11" customWidth="1"/>
    <col min="15615" max="15615" width="3.5703125" customWidth="1"/>
    <col min="15621" max="15621" width="6" customWidth="1"/>
    <col min="15626" max="15626" width="6" customWidth="1"/>
    <col min="15631" max="15631" width="6" customWidth="1"/>
    <col min="15638" max="15638" width="11" customWidth="1"/>
    <col min="15871" max="15871" width="3.5703125" customWidth="1"/>
    <col min="15877" max="15877" width="6" customWidth="1"/>
    <col min="15882" max="15882" width="6" customWidth="1"/>
    <col min="15887" max="15887" width="6" customWidth="1"/>
    <col min="15894" max="15894" width="11" customWidth="1"/>
    <col min="16127" max="16127" width="3.5703125" customWidth="1"/>
    <col min="16133" max="16133" width="6" customWidth="1"/>
    <col min="16138" max="16138" width="6" customWidth="1"/>
    <col min="16143" max="16143" width="6" customWidth="1"/>
    <col min="16150" max="16150" width="11" customWidth="1"/>
  </cols>
  <sheetData>
    <row r="1" spans="2:24">
      <c r="C1" s="144" t="s">
        <v>128</v>
      </c>
      <c r="D1" s="145" t="s">
        <v>129</v>
      </c>
    </row>
    <row r="2" spans="2:24">
      <c r="C2" s="8" t="s">
        <v>130</v>
      </c>
      <c r="D2" s="8"/>
      <c r="I2" s="8" t="s">
        <v>311</v>
      </c>
      <c r="X2" s="9" t="s">
        <v>129</v>
      </c>
    </row>
    <row r="3" spans="2:24" ht="15.75" thickBot="1">
      <c r="C3" s="146" t="s">
        <v>304</v>
      </c>
      <c r="D3" s="146" t="s">
        <v>132</v>
      </c>
      <c r="E3" s="147" t="s">
        <v>131</v>
      </c>
      <c r="F3" s="147" t="str">
        <f>IF($O$26="Bottom","runoff","perc")</f>
        <v>perc</v>
      </c>
      <c r="I3" s="147" t="s">
        <v>132</v>
      </c>
      <c r="J3" s="147" t="s">
        <v>131</v>
      </c>
      <c r="K3" s="147" t="str">
        <f>IF($O$26="Bottom","runoff","perc")</f>
        <v>perc</v>
      </c>
      <c r="X3" s="9" t="s">
        <v>133</v>
      </c>
    </row>
    <row r="4" spans="2:24">
      <c r="B4">
        <v>1</v>
      </c>
      <c r="C4" s="248">
        <v>1</v>
      </c>
      <c r="D4" s="249">
        <f>IF($D$1="","",IF($D$1=$X$2,IF(Bucket!F4="","",Bucket!F4),IF(C4="","",C4)))</f>
        <v>10</v>
      </c>
      <c r="E4" s="250">
        <v>8</v>
      </c>
      <c r="F4" s="251">
        <f>IF(D4="",IF(E4="","",ABS(D4-E4)),ABS(D4-E4))</f>
        <v>2</v>
      </c>
      <c r="H4">
        <v>1</v>
      </c>
      <c r="I4" s="291" t="str">
        <f>IF(D4="","",IF(D4&lt;$D$27,D4,""))</f>
        <v/>
      </c>
      <c r="J4" s="292" t="str">
        <f>IF(E4="","",IF(E4&lt;E$27,E4,""))</f>
        <v/>
      </c>
      <c r="K4" s="293" t="str">
        <f>IF(F4="","",IF(F4&lt;F$27,F4,""))</f>
        <v/>
      </c>
    </row>
    <row r="5" spans="2:24">
      <c r="B5">
        <v>2</v>
      </c>
      <c r="C5" s="252">
        <v>2</v>
      </c>
      <c r="D5" s="253">
        <f>IF($D$1="","",IF($D$1=$X$2,IF(Bucket!F5="","",Bucket!F5),IF(C5="","",C5)))</f>
        <v>8.5714285714285712</v>
      </c>
      <c r="E5" s="254">
        <v>7.5</v>
      </c>
      <c r="F5" s="251">
        <f t="shared" ref="F5:F23" si="0">IF(D5="",IF(E5="","",ABS(D5-E5)),ABS(D5-E5))</f>
        <v>1.0714285714285712</v>
      </c>
      <c r="H5">
        <v>2</v>
      </c>
      <c r="I5" s="294" t="str">
        <f t="shared" ref="I5:I23" si="1">IF(D5="","",IF(D5&lt;$D$27,D5,""))</f>
        <v/>
      </c>
      <c r="J5" s="295" t="str">
        <f t="shared" ref="J5:J23" si="2">IF(E5="","",IF(E5&lt;E$27,E5,""))</f>
        <v/>
      </c>
      <c r="K5" s="293" t="str">
        <f t="shared" ref="K5:K23" si="3">IF(F5="","",IF(F5&lt;F$27,F5,""))</f>
        <v/>
      </c>
    </row>
    <row r="6" spans="2:24">
      <c r="B6">
        <v>3</v>
      </c>
      <c r="C6" s="252">
        <v>3</v>
      </c>
      <c r="D6" s="253">
        <f>IF($D$1="","",IF($D$1=$X$2,IF(Bucket!F6="","",Bucket!F6),IF(C6="","",C6)))</f>
        <v>7.5</v>
      </c>
      <c r="E6" s="254">
        <v>6.5</v>
      </c>
      <c r="F6" s="251">
        <f t="shared" si="0"/>
        <v>1</v>
      </c>
      <c r="H6">
        <v>3</v>
      </c>
      <c r="I6" s="294" t="str">
        <f t="shared" si="1"/>
        <v/>
      </c>
      <c r="J6" s="295" t="str">
        <f t="shared" si="2"/>
        <v/>
      </c>
      <c r="K6" s="293" t="str">
        <f t="shared" si="3"/>
        <v/>
      </c>
    </row>
    <row r="7" spans="2:24">
      <c r="B7">
        <v>4</v>
      </c>
      <c r="C7" s="252">
        <v>4</v>
      </c>
      <c r="D7" s="253">
        <f>IF($D$1="","",IF($D$1=$X$2,IF(Bucket!F7="","",Bucket!F7),IF(C7="","",C7)))</f>
        <v>5.4545454545454541</v>
      </c>
      <c r="E7" s="254">
        <v>5</v>
      </c>
      <c r="F7" s="251">
        <f t="shared" si="0"/>
        <v>0.45454545454545414</v>
      </c>
      <c r="H7">
        <v>4</v>
      </c>
      <c r="I7" s="294">
        <f t="shared" si="1"/>
        <v>5.4545454545454541</v>
      </c>
      <c r="J7" s="295">
        <f t="shared" si="2"/>
        <v>5</v>
      </c>
      <c r="K7" s="293">
        <f t="shared" si="3"/>
        <v>0.45454545454545414</v>
      </c>
    </row>
    <row r="8" spans="2:24">
      <c r="B8">
        <v>5</v>
      </c>
      <c r="C8" s="252">
        <v>5</v>
      </c>
      <c r="D8" s="253">
        <f>IF($D$1="","",IF($D$1=$X$2,IF(Bucket!F8="","",Bucket!F8),IF(C8="","",C8)))</f>
        <v>7.5</v>
      </c>
      <c r="E8" s="254">
        <v>6</v>
      </c>
      <c r="F8" s="251">
        <f t="shared" si="0"/>
        <v>1.5</v>
      </c>
      <c r="H8">
        <v>5</v>
      </c>
      <c r="I8" s="294" t="str">
        <f t="shared" si="1"/>
        <v/>
      </c>
      <c r="J8" s="295">
        <f t="shared" si="2"/>
        <v>6</v>
      </c>
      <c r="K8" s="293" t="str">
        <f t="shared" si="3"/>
        <v/>
      </c>
    </row>
    <row r="9" spans="2:24">
      <c r="B9">
        <v>6</v>
      </c>
      <c r="C9" s="252">
        <v>6</v>
      </c>
      <c r="D9" s="253">
        <f>IF($D$1="","",IF($D$1=$X$2,IF(Bucket!F9="","",Bucket!F9),IF(C9="","",C9)))</f>
        <v>5</v>
      </c>
      <c r="E9" s="254">
        <v>4</v>
      </c>
      <c r="F9" s="251">
        <f t="shared" si="0"/>
        <v>1</v>
      </c>
      <c r="H9">
        <v>6</v>
      </c>
      <c r="I9" s="294">
        <f t="shared" si="1"/>
        <v>5</v>
      </c>
      <c r="J9" s="295">
        <f t="shared" si="2"/>
        <v>4</v>
      </c>
      <c r="K9" s="293" t="str">
        <f t="shared" si="3"/>
        <v/>
      </c>
    </row>
    <row r="10" spans="2:24">
      <c r="B10">
        <v>7</v>
      </c>
      <c r="C10" s="252">
        <v>7</v>
      </c>
      <c r="D10" s="253">
        <f>IF($D$1="","",IF($D$1=$X$2,IF(Bucket!F10="","",Bucket!F10),IF(C10="","",C10)))</f>
        <v>6.6666666666666661</v>
      </c>
      <c r="E10" s="254">
        <v>5.5</v>
      </c>
      <c r="F10" s="251">
        <f t="shared" si="0"/>
        <v>1.1666666666666661</v>
      </c>
      <c r="H10">
        <v>7</v>
      </c>
      <c r="I10" s="294">
        <f t="shared" si="1"/>
        <v>6.6666666666666661</v>
      </c>
      <c r="J10" s="295">
        <f t="shared" si="2"/>
        <v>5.5</v>
      </c>
      <c r="K10" s="293" t="str">
        <f t="shared" si="3"/>
        <v/>
      </c>
    </row>
    <row r="11" spans="2:24">
      <c r="B11">
        <v>8</v>
      </c>
      <c r="C11" s="252">
        <v>8</v>
      </c>
      <c r="D11" s="253">
        <f>IF($D$1="","",IF($D$1=$X$2,IF(Bucket!F11="","",Bucket!F11),IF(C11="","",C11)))</f>
        <v>8.1081081081081088</v>
      </c>
      <c r="E11" s="254">
        <v>7.2</v>
      </c>
      <c r="F11" s="251">
        <f t="shared" si="0"/>
        <v>0.9081081081081086</v>
      </c>
      <c r="H11">
        <v>8</v>
      </c>
      <c r="I11" s="294" t="str">
        <f t="shared" si="1"/>
        <v/>
      </c>
      <c r="J11" s="295" t="str">
        <f t="shared" si="2"/>
        <v/>
      </c>
      <c r="K11" s="293" t="str">
        <f t="shared" si="3"/>
        <v/>
      </c>
    </row>
    <row r="12" spans="2:24">
      <c r="B12">
        <v>9</v>
      </c>
      <c r="C12" s="252">
        <v>9</v>
      </c>
      <c r="D12" s="253">
        <f>IF($D$1="","",IF($D$1=$X$2,IF(Bucket!F12="","",Bucket!F12),IF(C12="","",C12)))</f>
        <v>7.1428571428571432</v>
      </c>
      <c r="E12" s="254">
        <v>6</v>
      </c>
      <c r="F12" s="251">
        <f t="shared" si="0"/>
        <v>1.1428571428571432</v>
      </c>
      <c r="H12">
        <v>9</v>
      </c>
      <c r="I12" s="294" t="str">
        <f t="shared" si="1"/>
        <v/>
      </c>
      <c r="J12" s="295">
        <f t="shared" si="2"/>
        <v>6</v>
      </c>
      <c r="K12" s="293" t="str">
        <f t="shared" si="3"/>
        <v/>
      </c>
    </row>
    <row r="13" spans="2:24">
      <c r="B13">
        <v>10</v>
      </c>
      <c r="C13" s="252">
        <v>10</v>
      </c>
      <c r="D13" s="253">
        <f>IF($D$1="","",IF($D$1=$X$2,IF(Bucket!F13="","",Bucket!F13),IF(C13="","",C13)))</f>
        <v>6.8181818181818175</v>
      </c>
      <c r="E13" s="254">
        <v>7.1</v>
      </c>
      <c r="F13" s="251">
        <f t="shared" si="0"/>
        <v>0.28181818181818219</v>
      </c>
      <c r="H13">
        <v>10</v>
      </c>
      <c r="I13" s="294" t="str">
        <f t="shared" si="1"/>
        <v/>
      </c>
      <c r="J13" s="295" t="str">
        <f t="shared" si="2"/>
        <v/>
      </c>
      <c r="K13" s="293">
        <f t="shared" si="3"/>
        <v>0.28181818181818219</v>
      </c>
    </row>
    <row r="14" spans="2:24">
      <c r="B14">
        <v>11</v>
      </c>
      <c r="C14" s="252">
        <v>11</v>
      </c>
      <c r="D14" s="253">
        <f>IF($D$1="","",IF($D$1=$X$2,IF(Bucket!F14="","",Bucket!F14),IF(C14="","",C14)))</f>
        <v>9.0909090909090899</v>
      </c>
      <c r="E14" s="254">
        <v>7.6</v>
      </c>
      <c r="F14" s="251">
        <f t="shared" si="0"/>
        <v>1.4909090909090903</v>
      </c>
      <c r="H14">
        <v>11</v>
      </c>
      <c r="I14" s="294" t="str">
        <f t="shared" si="1"/>
        <v/>
      </c>
      <c r="J14" s="295" t="str">
        <f t="shared" si="2"/>
        <v/>
      </c>
      <c r="K14" s="293" t="str">
        <f t="shared" si="3"/>
        <v/>
      </c>
    </row>
    <row r="15" spans="2:24">
      <c r="B15">
        <v>12</v>
      </c>
      <c r="C15" s="252">
        <v>12</v>
      </c>
      <c r="D15" s="253">
        <f>IF($D$1="","",IF($D$1=$X$2,IF(Bucket!F15="","",Bucket!F15),IF(C15="","",C15)))</f>
        <v>7.3170731707317067</v>
      </c>
      <c r="E15" s="254">
        <v>8.3000000000000007</v>
      </c>
      <c r="F15" s="251">
        <f t="shared" si="0"/>
        <v>0.982926829268294</v>
      </c>
      <c r="H15">
        <v>12</v>
      </c>
      <c r="I15" s="294" t="str">
        <f t="shared" si="1"/>
        <v/>
      </c>
      <c r="J15" s="295" t="str">
        <f t="shared" si="2"/>
        <v/>
      </c>
      <c r="K15" s="293" t="str">
        <f t="shared" si="3"/>
        <v/>
      </c>
    </row>
    <row r="16" spans="2:24">
      <c r="B16">
        <v>13</v>
      </c>
      <c r="C16" s="252"/>
      <c r="D16" s="253">
        <f>IF($D$1="","",IF($D$1=$X$2,IF(Bucket!F16="","",Bucket!F16),IF(C16="","",C16)))</f>
        <v>7.1428571428571432</v>
      </c>
      <c r="E16" s="254">
        <v>8.1999999999999993</v>
      </c>
      <c r="F16" s="251">
        <f t="shared" si="0"/>
        <v>1.0571428571428561</v>
      </c>
      <c r="H16">
        <v>13</v>
      </c>
      <c r="I16" s="294" t="str">
        <f t="shared" si="1"/>
        <v/>
      </c>
      <c r="J16" s="295" t="str">
        <f t="shared" si="2"/>
        <v/>
      </c>
      <c r="K16" s="293" t="str">
        <f t="shared" si="3"/>
        <v/>
      </c>
    </row>
    <row r="17" spans="2:15">
      <c r="B17">
        <v>14</v>
      </c>
      <c r="C17" s="252"/>
      <c r="D17" s="253">
        <f>IF($D$1="","",IF($D$1=$X$2,IF(Bucket!F17="","",Bucket!F17),IF(C17="","",C17)))</f>
        <v>7.3170731707317067</v>
      </c>
      <c r="E17" s="254">
        <v>6.2</v>
      </c>
      <c r="F17" s="251">
        <f t="shared" si="0"/>
        <v>1.1170731707317065</v>
      </c>
      <c r="H17">
        <v>14</v>
      </c>
      <c r="I17" s="294" t="str">
        <f t="shared" si="1"/>
        <v/>
      </c>
      <c r="J17" s="295" t="str">
        <f t="shared" si="2"/>
        <v/>
      </c>
      <c r="K17" s="293" t="str">
        <f t="shared" si="3"/>
        <v/>
      </c>
    </row>
    <row r="18" spans="2:15">
      <c r="B18">
        <v>15</v>
      </c>
      <c r="C18" s="252"/>
      <c r="D18" s="253" t="str">
        <f>IF($D$1="","",IF($D$1=$X$2,IF(Bucket!F18="","",Bucket!F18),IF(C18="","",C18)))</f>
        <v/>
      </c>
      <c r="E18" s="254"/>
      <c r="F18" s="251" t="str">
        <f t="shared" si="0"/>
        <v/>
      </c>
      <c r="H18">
        <v>15</v>
      </c>
      <c r="I18" s="294" t="str">
        <f t="shared" si="1"/>
        <v/>
      </c>
      <c r="J18" s="295" t="str">
        <f t="shared" si="2"/>
        <v/>
      </c>
      <c r="K18" s="293" t="str">
        <f t="shared" si="3"/>
        <v/>
      </c>
    </row>
    <row r="19" spans="2:15">
      <c r="B19">
        <v>16</v>
      </c>
      <c r="C19" s="252"/>
      <c r="D19" s="253" t="str">
        <f>IF($D$1="","",IF($D$1=$X$2,IF(Bucket!F19="","",Bucket!F19),IF(C19="","",C19)))</f>
        <v/>
      </c>
      <c r="E19" s="254"/>
      <c r="F19" s="251" t="str">
        <f t="shared" si="0"/>
        <v/>
      </c>
      <c r="H19">
        <v>16</v>
      </c>
      <c r="I19" s="294" t="str">
        <f t="shared" si="1"/>
        <v/>
      </c>
      <c r="J19" s="295" t="str">
        <f t="shared" si="2"/>
        <v/>
      </c>
      <c r="K19" s="293" t="str">
        <f t="shared" si="3"/>
        <v/>
      </c>
    </row>
    <row r="20" spans="2:15">
      <c r="B20">
        <v>17</v>
      </c>
      <c r="C20" s="252"/>
      <c r="D20" s="253" t="str">
        <f>IF($D$1="","",IF($D$1=$X$2,IF(Bucket!F20="","",Bucket!F20),IF(C20="","",C20)))</f>
        <v/>
      </c>
      <c r="E20" s="254"/>
      <c r="F20" s="251" t="str">
        <f t="shared" si="0"/>
        <v/>
      </c>
      <c r="H20">
        <v>17</v>
      </c>
      <c r="I20" s="294" t="str">
        <f t="shared" si="1"/>
        <v/>
      </c>
      <c r="J20" s="295" t="str">
        <f t="shared" si="2"/>
        <v/>
      </c>
      <c r="K20" s="293" t="str">
        <f t="shared" si="3"/>
        <v/>
      </c>
    </row>
    <row r="21" spans="2:15">
      <c r="B21">
        <v>18</v>
      </c>
      <c r="C21" s="252"/>
      <c r="D21" s="253" t="str">
        <f>IF($D$1="","",IF($D$1=$X$2,IF(Bucket!F21="","",Bucket!F21),IF(C21="","",C21)))</f>
        <v/>
      </c>
      <c r="E21" s="254"/>
      <c r="F21" s="251" t="str">
        <f t="shared" si="0"/>
        <v/>
      </c>
      <c r="H21">
        <v>18</v>
      </c>
      <c r="I21" s="294" t="str">
        <f t="shared" si="1"/>
        <v/>
      </c>
      <c r="J21" s="295" t="str">
        <f t="shared" si="2"/>
        <v/>
      </c>
      <c r="K21" s="293" t="str">
        <f t="shared" si="3"/>
        <v/>
      </c>
    </row>
    <row r="22" spans="2:15">
      <c r="B22">
        <v>19</v>
      </c>
      <c r="C22" s="252"/>
      <c r="D22" s="253" t="str">
        <f>IF($D$1="","",IF($D$1=$X$2,IF(Bucket!F22="","",Bucket!F22),IF(C22="","",C22)))</f>
        <v/>
      </c>
      <c r="E22" s="254"/>
      <c r="F22" s="251" t="str">
        <f t="shared" si="0"/>
        <v/>
      </c>
      <c r="H22">
        <v>19</v>
      </c>
      <c r="I22" s="294" t="str">
        <f t="shared" si="1"/>
        <v/>
      </c>
      <c r="J22" s="295" t="str">
        <f t="shared" si="2"/>
        <v/>
      </c>
      <c r="K22" s="293" t="str">
        <f t="shared" si="3"/>
        <v/>
      </c>
    </row>
    <row r="23" spans="2:15" ht="15.75" thickBot="1">
      <c r="B23">
        <v>20</v>
      </c>
      <c r="C23" s="255"/>
      <c r="D23" s="256" t="str">
        <f>IF($D$1="","",IF($D$1=$X$2,IF(Bucket!F23="","",Bucket!F23),IF(C23="","",C23)))</f>
        <v/>
      </c>
      <c r="E23" s="257"/>
      <c r="F23" s="251" t="str">
        <f t="shared" si="0"/>
        <v/>
      </c>
      <c r="H23">
        <v>20</v>
      </c>
      <c r="I23" s="296" t="str">
        <f t="shared" si="1"/>
        <v/>
      </c>
      <c r="J23" s="297" t="str">
        <f t="shared" si="2"/>
        <v/>
      </c>
      <c r="K23" s="293" t="str">
        <f t="shared" si="3"/>
        <v/>
      </c>
    </row>
    <row r="24" spans="2:15">
      <c r="B24" s="25" t="s">
        <v>134</v>
      </c>
      <c r="C24" s="148">
        <f>IF(COUNT(C4:C23)=0,"",AVERAGE(C4:C21))</f>
        <v>6.5</v>
      </c>
      <c r="D24" s="287">
        <f>IF(COUNT(D4:D23)=0,"",AVERAGE(D4:D21))</f>
        <v>7.4021214526440984</v>
      </c>
      <c r="E24" s="287">
        <f>IF(COUNT(E4:E23)=0,"",SUM(E4:E23)/COUNT(E4:E23))</f>
        <v>6.65</v>
      </c>
      <c r="F24" s="286">
        <f>IF(COUNT(F4:F23)=0,"",AVERAGE(F4:F23))</f>
        <v>1.0838197195340051</v>
      </c>
      <c r="I24" s="147"/>
      <c r="J24" s="147"/>
      <c r="K24" s="147"/>
    </row>
    <row r="25" spans="2:15" ht="15.75" thickBot="1">
      <c r="B25" s="25"/>
      <c r="C25" s="150"/>
      <c r="D25" s="150"/>
      <c r="E25" s="150"/>
      <c r="F25" s="150"/>
      <c r="H25" s="25" t="s">
        <v>135</v>
      </c>
      <c r="J25" s="147"/>
      <c r="K25" s="147"/>
    </row>
    <row r="26" spans="2:15">
      <c r="B26" s="25" t="s">
        <v>136</v>
      </c>
      <c r="C26" s="149">
        <f>IF(C24="","",C24-STDEV(C4:C23))</f>
        <v>2.8944487245360109</v>
      </c>
      <c r="D26" s="288">
        <f>IF(D24="","",D24-STDEV(D4:D23))</f>
        <v>6.0988753658558776</v>
      </c>
      <c r="E26" s="288">
        <f t="shared" ref="E26:F26" si="4">IF(E24="","",E24-STDEV(E4:E23))</f>
        <v>5.3725325534781447</v>
      </c>
      <c r="F26" s="288">
        <f t="shared" si="4"/>
        <v>0.66457753566632238</v>
      </c>
      <c r="H26" s="25" t="s">
        <v>137</v>
      </c>
      <c r="I26" s="265">
        <f>IF(D$24="","",IF(D$36&gt;0,D$27,""))</f>
        <v>6.750498409249988</v>
      </c>
      <c r="J26" s="266" t="str">
        <f>IF(E$24="","",IF(E$36&gt;0,E$27,""))</f>
        <v/>
      </c>
      <c r="K26" s="267" t="str">
        <f>IF(F$24="","",IF(F$36&gt;0,F$27,""))</f>
        <v/>
      </c>
      <c r="N26" s="151" t="s">
        <v>138</v>
      </c>
      <c r="O26" s="152" t="str">
        <f>IF(E24="",IF(D24="","N/A?","Top"),IF(D24="","Bottom","Normal"))</f>
        <v>Normal</v>
      </c>
    </row>
    <row r="27" spans="2:15" ht="15.75" thickBot="1">
      <c r="B27" s="25" t="s">
        <v>139</v>
      </c>
      <c r="C27" s="149">
        <f>IF(C24="","",C24-(0.5*STDEV(C4:C23)))</f>
        <v>4.6972243622680052</v>
      </c>
      <c r="D27" s="288">
        <f>IF(D24="","",D24-(0.5*STDEV(D4:D23)))</f>
        <v>6.750498409249988</v>
      </c>
      <c r="E27" s="288">
        <f t="shared" ref="E27:F27" si="5">IF(E24="","",E24-(0.5*STDEV(E4:E23)))</f>
        <v>6.0112662767390725</v>
      </c>
      <c r="F27" s="288">
        <f t="shared" si="5"/>
        <v>0.87419862760016376</v>
      </c>
      <c r="H27" s="25" t="s">
        <v>140</v>
      </c>
      <c r="I27" s="268" t="str">
        <f>IF(D$24="","",IF(D$36&gt;1,D$27,""))</f>
        <v/>
      </c>
      <c r="J27" s="269" t="str">
        <f>IF(E$24="","",IF(E$36&gt;1,E$27,""))</f>
        <v/>
      </c>
      <c r="K27" s="270" t="str">
        <f>IF(F$24="","",IF(F$36&gt;1,F$27,""))</f>
        <v/>
      </c>
      <c r="N27" s="155" t="s">
        <v>284</v>
      </c>
      <c r="O27" s="290">
        <f>IF(O26="Top",I32,IF(O26="Bottom",J32,IF(O26="Normal",K32,"")))</f>
        <v>0.33970762069186211</v>
      </c>
    </row>
    <row r="28" spans="2:15">
      <c r="B28" s="25" t="s">
        <v>141</v>
      </c>
      <c r="C28" s="149">
        <f>IF(C24="","",C24+STDEV(C4:C23))</f>
        <v>10.10555127546399</v>
      </c>
      <c r="D28" s="288">
        <f>IF(D24="","",D24+STDEV(D4:D23))</f>
        <v>8.70536753943232</v>
      </c>
      <c r="E28" s="288">
        <f>IF(E24="","",E24+STDEV(E4:E23))</f>
        <v>7.927467446521856</v>
      </c>
      <c r="F28" s="285">
        <f>F24+STDEV(F4:F23)</f>
        <v>1.5030619034016879</v>
      </c>
      <c r="H28" s="25" t="s">
        <v>143</v>
      </c>
      <c r="I28" s="268" t="str">
        <f>IF(D$24="","",IF(D$36&gt;2,D$27,""))</f>
        <v/>
      </c>
      <c r="J28" s="269" t="str">
        <f>IF(E$24="","",IF(E$36&gt;2,E$27,""))</f>
        <v/>
      </c>
      <c r="K28" s="270" t="str">
        <f>IF(F$24="","",IF(F$36&gt;2,F$27,""))</f>
        <v/>
      </c>
    </row>
    <row r="29" spans="2:15">
      <c r="B29" s="25" t="s">
        <v>142</v>
      </c>
      <c r="C29" s="154">
        <f>IF(C24="","",COUNT(C4:C23))</f>
        <v>12</v>
      </c>
      <c r="D29" s="289">
        <f>IF(D24="","",COUNT(D4:D23))</f>
        <v>14</v>
      </c>
      <c r="E29" s="289">
        <f t="shared" ref="E29:F29" si="6">IF(E24="","",COUNT(E4:E23))</f>
        <v>14</v>
      </c>
      <c r="F29" s="289">
        <f t="shared" si="6"/>
        <v>14</v>
      </c>
      <c r="H29" s="25" t="s">
        <v>145</v>
      </c>
      <c r="I29" s="268" t="str">
        <f>IF(D$24="","",IF(D$36&gt;3,D$27,""))</f>
        <v/>
      </c>
      <c r="J29" s="269" t="str">
        <f>IF(E$24="","",IF(E$36&gt;3,E$27,""))</f>
        <v/>
      </c>
      <c r="K29" s="270" t="str">
        <f>IF(F$24="","",IF(F$36&gt;3,F$27,""))</f>
        <v/>
      </c>
    </row>
    <row r="30" spans="2:15" ht="15.75" thickBot="1">
      <c r="B30" s="25" t="s">
        <v>305</v>
      </c>
      <c r="C30" s="258">
        <f>SUM(C4:C23)</f>
        <v>78</v>
      </c>
      <c r="D30" s="258">
        <f>SUM(D4:D23)</f>
        <v>103.62970033701738</v>
      </c>
      <c r="E30" s="258">
        <f t="shared" ref="E30:F30" si="7">SUM(E4:E23)</f>
        <v>93.100000000000009</v>
      </c>
      <c r="F30" s="258">
        <f t="shared" si="7"/>
        <v>15.173476073476071</v>
      </c>
      <c r="H30" s="25" t="s">
        <v>148</v>
      </c>
      <c r="I30" s="271" t="str">
        <f>IF(D$24="","",IF(D$36&gt;4,D$27,""))</f>
        <v/>
      </c>
      <c r="J30" s="272" t="str">
        <f>IF(E$24="","",IF(E$36&gt;4,E$27,""))</f>
        <v/>
      </c>
      <c r="K30" s="273" t="str">
        <f>IF(F$24="","",IF(F$36&gt;4,F$27,""))</f>
        <v/>
      </c>
    </row>
    <row r="31" spans="2:15">
      <c r="B31" s="25" t="s">
        <v>146</v>
      </c>
      <c r="C31" s="156"/>
      <c r="D31" s="156">
        <f>IF(D24="","",(D29-COUNT(I4:I23))/D29)</f>
        <v>0.7857142857142857</v>
      </c>
      <c r="E31" s="156">
        <f t="shared" ref="E31:F31" si="8">IF(E24="","",(E29-COUNT(J4:J23))/E29)</f>
        <v>0.6428571428571429</v>
      </c>
      <c r="F31" s="156">
        <f t="shared" si="8"/>
        <v>0.8571428571428571</v>
      </c>
      <c r="H31" s="25" t="s">
        <v>134</v>
      </c>
      <c r="I31" s="281">
        <f>IF(C24="","",AVERAGE(I4:I23,I26:I30))</f>
        <v>5.9679276326155266</v>
      </c>
      <c r="J31" s="281">
        <f>IF(E24="","",AVERAGE(J4:J23,J26:J30))</f>
        <v>5.3</v>
      </c>
      <c r="K31" s="281">
        <f>IF(F24="","",AVERAGE(K4:K23,K26:K30))</f>
        <v>0.36818181818181817</v>
      </c>
    </row>
    <row r="32" spans="2:15">
      <c r="B32" s="25" t="s">
        <v>149</v>
      </c>
      <c r="C32" s="154"/>
      <c r="D32" s="154">
        <f>IF(D24="","",D29-COUNT(I4:I23))</f>
        <v>11</v>
      </c>
      <c r="E32" s="154">
        <f t="shared" ref="E32:F32" si="9">IF(E24="","",E29-COUNT(J4:J23))</f>
        <v>9</v>
      </c>
      <c r="F32" s="154">
        <f t="shared" si="9"/>
        <v>12</v>
      </c>
      <c r="H32" s="157" t="s">
        <v>82</v>
      </c>
      <c r="I32" s="158">
        <f>IF(D24="","",I31/D24)</f>
        <v>0.80624557038087152</v>
      </c>
      <c r="J32" s="158">
        <f t="shared" ref="J32:K32" si="10">IF(E24="","",J31/E24)</f>
        <v>0.79699248120300747</v>
      </c>
      <c r="K32" s="158">
        <f t="shared" si="10"/>
        <v>0.33970762069186211</v>
      </c>
    </row>
    <row r="33" spans="1:11">
      <c r="B33" s="25"/>
      <c r="C33" s="147"/>
      <c r="D33" s="147"/>
      <c r="E33" s="147"/>
      <c r="F33" s="147"/>
      <c r="H33" s="39"/>
      <c r="I33" s="160"/>
      <c r="J33" s="160"/>
      <c r="K33" s="161"/>
    </row>
    <row r="34" spans="1:11">
      <c r="A34" s="159"/>
      <c r="B34" s="25" t="s">
        <v>150</v>
      </c>
      <c r="C34" s="154"/>
      <c r="D34" s="154">
        <f>IF(D24="","",MEDIAN(D4:D23))</f>
        <v>7.3170731707317067</v>
      </c>
      <c r="E34" s="154">
        <f t="shared" ref="E34:F34" si="11">IF(E24="","",MEDIAN(E4:E23))</f>
        <v>6.8</v>
      </c>
      <c r="F34" s="154">
        <f t="shared" si="11"/>
        <v>1.0642857142857136</v>
      </c>
      <c r="J34" s="162"/>
      <c r="K34" s="39"/>
    </row>
    <row r="35" spans="1:11">
      <c r="A35" s="25"/>
      <c r="B35" s="25" t="s">
        <v>144</v>
      </c>
      <c r="C35" s="154"/>
      <c r="D35" s="154">
        <f>IF(D24="","",COUNTIF(D4:D23,D34))</f>
        <v>2</v>
      </c>
      <c r="E35" s="154">
        <f t="shared" ref="E35:F35" si="12">IF(E24="","",COUNTIF(E4:E23,E34))</f>
        <v>0</v>
      </c>
      <c r="F35" s="154">
        <f t="shared" si="12"/>
        <v>0</v>
      </c>
    </row>
    <row r="36" spans="1:11">
      <c r="A36" s="25"/>
      <c r="B36" s="25" t="s">
        <v>147</v>
      </c>
      <c r="C36" s="154"/>
      <c r="D36" s="154">
        <f>IF(D24="","",D35/2)</f>
        <v>1</v>
      </c>
      <c r="E36" s="154">
        <f t="shared" ref="E36:F36" si="13">IF(E24="","",E35/2)</f>
        <v>0</v>
      </c>
      <c r="F36" s="154">
        <f t="shared" si="13"/>
        <v>0</v>
      </c>
    </row>
    <row r="37" spans="1:11">
      <c r="C37" s="52"/>
      <c r="D37" s="52"/>
    </row>
    <row r="38" spans="1:11">
      <c r="F38">
        <f>furr_avg*33</f>
        <v>214.5</v>
      </c>
    </row>
    <row r="56" spans="2:6">
      <c r="C56" t="s">
        <v>132</v>
      </c>
      <c r="E56" t="s">
        <v>131</v>
      </c>
      <c r="F56" t="s">
        <v>151</v>
      </c>
    </row>
    <row r="57" spans="2:6">
      <c r="C57" t="e">
        <f>IF(#REF!="","",IF(#REF!&lt;C$27,#REF!,""))</f>
        <v>#REF!</v>
      </c>
      <c r="E57" t="e">
        <f>IF(#REF!="","",IF(#REF!&lt;E$27,#REF!,""))</f>
        <v>#REF!</v>
      </c>
      <c r="F57" t="e">
        <f>IF(#REF!="","",IF(#REF!&lt;F$27,#REF!,""))</f>
        <v>#REF!</v>
      </c>
    </row>
    <row r="58" spans="2:6">
      <c r="C58" t="e">
        <f>IF(#REF!="","",IF(#REF!&lt;C$27,#REF!,""))</f>
        <v>#REF!</v>
      </c>
      <c r="E58" t="e">
        <f>IF(#REF!="","",IF(#REF!&lt;E$27,#REF!,""))</f>
        <v>#REF!</v>
      </c>
      <c r="F58" t="e">
        <f>IF(#REF!="","",IF(#REF!&lt;F$27,#REF!,""))</f>
        <v>#REF!</v>
      </c>
    </row>
    <row r="59" spans="2:6">
      <c r="B59">
        <v>1</v>
      </c>
      <c r="C59" t="e">
        <f>IF(#REF!="","",IF(#REF!&lt;C$27,#REF!,""))</f>
        <v>#REF!</v>
      </c>
      <c r="E59" t="e">
        <f>IF(#REF!="","",IF(#REF!&lt;E$27,#REF!,""))</f>
        <v>#REF!</v>
      </c>
      <c r="F59" t="e">
        <f>IF(#REF!="","",IF(#REF!&lt;F$27,#REF!,""))</f>
        <v>#REF!</v>
      </c>
    </row>
    <row r="60" spans="2:6">
      <c r="B60">
        <v>2</v>
      </c>
      <c r="C60" t="e">
        <f>IF(#REF!="","",IF(#REF!&lt;C$27,#REF!,""))</f>
        <v>#REF!</v>
      </c>
      <c r="E60" t="e">
        <f>IF(#REF!="","",IF(#REF!&lt;E$27,#REF!,""))</f>
        <v>#REF!</v>
      </c>
      <c r="F60" t="e">
        <f>IF(#REF!="","",IF(#REF!&lt;F$27,#REF!,""))</f>
        <v>#REF!</v>
      </c>
    </row>
    <row r="61" spans="2:6">
      <c r="B61">
        <v>3</v>
      </c>
      <c r="C61" t="e">
        <f>IF(#REF!="","",IF(#REF!&lt;C$27,#REF!,""))</f>
        <v>#REF!</v>
      </c>
      <c r="E61" t="e">
        <f>IF(#REF!="","",IF(#REF!&lt;E$27,#REF!,""))</f>
        <v>#REF!</v>
      </c>
      <c r="F61" t="e">
        <f>IF(#REF!="","",IF(#REF!&lt;F$27,#REF!,""))</f>
        <v>#REF!</v>
      </c>
    </row>
    <row r="62" spans="2:6">
      <c r="B62">
        <v>4</v>
      </c>
      <c r="C62" t="e">
        <f>IF(#REF!="","",IF(#REF!&lt;C$27,#REF!,""))</f>
        <v>#REF!</v>
      </c>
      <c r="E62" t="e">
        <f>IF(#REF!="","",IF(#REF!&lt;E$27,#REF!,""))</f>
        <v>#REF!</v>
      </c>
      <c r="F62" t="e">
        <f>IF(#REF!="","",IF(#REF!&lt;F$27,#REF!,""))</f>
        <v>#REF!</v>
      </c>
    </row>
    <row r="63" spans="2:6">
      <c r="B63">
        <v>5</v>
      </c>
      <c r="C63" t="e">
        <f>IF(#REF!="","",IF(#REF!&lt;C$27,#REF!,""))</f>
        <v>#REF!</v>
      </c>
      <c r="E63" t="e">
        <f>IF(#REF!="","",IF(#REF!&lt;E$27,#REF!,""))</f>
        <v>#REF!</v>
      </c>
      <c r="F63" t="e">
        <f>IF(#REF!="","",IF(#REF!&lt;F$27,#REF!,""))</f>
        <v>#REF!</v>
      </c>
    </row>
    <row r="64" spans="2:6">
      <c r="B64">
        <v>6</v>
      </c>
      <c r="C64" t="e">
        <f>IF(#REF!="","",IF(#REF!&lt;C$27,#REF!,""))</f>
        <v>#REF!</v>
      </c>
      <c r="E64" t="e">
        <f>IF(#REF!="","",IF(#REF!&lt;E$27,#REF!,""))</f>
        <v>#REF!</v>
      </c>
      <c r="F64" t="e">
        <f>IF(#REF!="","",IF(#REF!&lt;F$27,#REF!,""))</f>
        <v>#REF!</v>
      </c>
    </row>
    <row r="65" spans="2:6">
      <c r="B65">
        <v>7</v>
      </c>
      <c r="C65" t="e">
        <f>IF(#REF!="","",IF(#REF!&lt;C$27,#REF!,""))</f>
        <v>#REF!</v>
      </c>
      <c r="E65" t="e">
        <f>IF(#REF!="","",IF(#REF!&lt;E$27,#REF!,""))</f>
        <v>#REF!</v>
      </c>
      <c r="F65" t="e">
        <f>IF(#REF!="","",IF(#REF!&lt;F$27,#REF!,""))</f>
        <v>#REF!</v>
      </c>
    </row>
    <row r="66" spans="2:6">
      <c r="B66">
        <v>8</v>
      </c>
      <c r="C66" t="e">
        <f>IF(#REF!="","",IF(#REF!&lt;C$27,#REF!,""))</f>
        <v>#REF!</v>
      </c>
      <c r="E66" t="e">
        <f>IF(#REF!="","",IF(#REF!&lt;E$27,#REF!,""))</f>
        <v>#REF!</v>
      </c>
      <c r="F66" t="e">
        <f>IF(#REF!="","",IF(#REF!&lt;F$27,#REF!,""))</f>
        <v>#REF!</v>
      </c>
    </row>
    <row r="67" spans="2:6">
      <c r="B67">
        <v>9</v>
      </c>
      <c r="C67">
        <f>IF(COUNT(C57:C66)=0,0,AVERAGE(C57:C66))</f>
        <v>0</v>
      </c>
      <c r="E67">
        <f>IF(COUNT(E57:E66)=0,0,AVERAGE(E57:E66))</f>
        <v>0</v>
      </c>
      <c r="F67">
        <f>IF(COUNT(F57:F66)=0,0,AVERAGE(F57:F66))</f>
        <v>0</v>
      </c>
    </row>
    <row r="68" spans="2:6">
      <c r="B68">
        <v>10</v>
      </c>
    </row>
    <row r="69" spans="2:6">
      <c r="B69" t="s">
        <v>134</v>
      </c>
      <c r="C69" s="129">
        <f>IF(C67=0,1,C67/#REF!)</f>
        <v>1</v>
      </c>
      <c r="D69" s="129"/>
      <c r="E69" s="129">
        <f>IF(E67=0,1,E67/#REF!)</f>
        <v>1</v>
      </c>
      <c r="F69" s="129">
        <f>IF(F67=0,1,F67/#REF!)</f>
        <v>1</v>
      </c>
    </row>
  </sheetData>
  <conditionalFormatting sqref="F4:F23">
    <cfRule type="cellIs" dxfId="12" priority="2" stopIfTrue="1" operator="lessThan">
      <formula>0</formula>
    </cfRule>
  </conditionalFormatting>
  <conditionalFormatting sqref="C4:C23">
    <cfRule type="expression" dxfId="11" priority="23" stopIfTrue="1">
      <formula>$D$1=$X$2</formula>
    </cfRule>
  </conditionalFormatting>
  <dataValidations disablePrompts="1" count="2">
    <dataValidation type="list" allowBlank="1" showInputMessage="1" showErrorMessage="1" sqref="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K983073 K917537 K852001 K786465 K720929 K655393 K589857 K524321 K458785 K393249 K327713 K262177 K196641 K131105 K65569 K33">
      <formula1>$K$3:$L$3</formula1>
    </dataValidation>
    <dataValidation type="list" allowBlank="1" showInputMessage="1" showErrorMessage="1" sqref="IX1 D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D65538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D131074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D196610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D262146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D327682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D393218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D458754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D524290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D589826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D655362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D720898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D786434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D851970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D917506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D983042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formula1>$X$2:$X$3</formula1>
    </dataValidation>
  </dataValidations>
  <pageMargins left="0.7" right="0.7" top="0.75" bottom="0.75" header="0.3" footer="0.3"/>
  <pageSetup orientation="portrait" r:id="rId1"/>
  <ignoredErrors>
    <ignoredError sqref="D4:D9 D18:D23 D10:D17" unlockedFormula="1"/>
  </ignoredErrors>
</worksheet>
</file>

<file path=xl/worksheets/sheet3.xml><?xml version="1.0" encoding="utf-8"?>
<worksheet xmlns="http://schemas.openxmlformats.org/spreadsheetml/2006/main" xmlns:r="http://schemas.openxmlformats.org/officeDocument/2006/relationships">
  <dimension ref="B2:AC23"/>
  <sheetViews>
    <sheetView workbookViewId="0">
      <selection activeCell="C18" sqref="C18"/>
    </sheetView>
  </sheetViews>
  <sheetFormatPr defaultRowHeight="15"/>
  <cols>
    <col min="7" max="7" width="11.85546875" customWidth="1"/>
    <col min="263" max="263" width="11.85546875" customWidth="1"/>
    <col min="519" max="519" width="11.85546875" customWidth="1"/>
    <col min="775" max="775" width="11.85546875" customWidth="1"/>
    <col min="1031" max="1031" width="11.85546875" customWidth="1"/>
    <col min="1287" max="1287" width="11.85546875" customWidth="1"/>
    <col min="1543" max="1543" width="11.85546875" customWidth="1"/>
    <col min="1799" max="1799" width="11.85546875" customWidth="1"/>
    <col min="2055" max="2055" width="11.85546875" customWidth="1"/>
    <col min="2311" max="2311" width="11.85546875" customWidth="1"/>
    <col min="2567" max="2567" width="11.85546875" customWidth="1"/>
    <col min="2823" max="2823" width="11.85546875" customWidth="1"/>
    <col min="3079" max="3079" width="11.85546875" customWidth="1"/>
    <col min="3335" max="3335" width="11.85546875" customWidth="1"/>
    <col min="3591" max="3591" width="11.85546875" customWidth="1"/>
    <col min="3847" max="3847" width="11.85546875" customWidth="1"/>
    <col min="4103" max="4103" width="11.85546875" customWidth="1"/>
    <col min="4359" max="4359" width="11.85546875" customWidth="1"/>
    <col min="4615" max="4615" width="11.85546875" customWidth="1"/>
    <col min="4871" max="4871" width="11.85546875" customWidth="1"/>
    <col min="5127" max="5127" width="11.85546875" customWidth="1"/>
    <col min="5383" max="5383" width="11.85546875" customWidth="1"/>
    <col min="5639" max="5639" width="11.85546875" customWidth="1"/>
    <col min="5895" max="5895" width="11.85546875" customWidth="1"/>
    <col min="6151" max="6151" width="11.85546875" customWidth="1"/>
    <col min="6407" max="6407" width="11.85546875" customWidth="1"/>
    <col min="6663" max="6663" width="11.85546875" customWidth="1"/>
    <col min="6919" max="6919" width="11.85546875" customWidth="1"/>
    <col min="7175" max="7175" width="11.85546875" customWidth="1"/>
    <col min="7431" max="7431" width="11.85546875" customWidth="1"/>
    <col min="7687" max="7687" width="11.85546875" customWidth="1"/>
    <col min="7943" max="7943" width="11.85546875" customWidth="1"/>
    <col min="8199" max="8199" width="11.85546875" customWidth="1"/>
    <col min="8455" max="8455" width="11.85546875" customWidth="1"/>
    <col min="8711" max="8711" width="11.85546875" customWidth="1"/>
    <col min="8967" max="8967" width="11.85546875" customWidth="1"/>
    <col min="9223" max="9223" width="11.85546875" customWidth="1"/>
    <col min="9479" max="9479" width="11.85546875" customWidth="1"/>
    <col min="9735" max="9735" width="11.85546875" customWidth="1"/>
    <col min="9991" max="9991" width="11.85546875" customWidth="1"/>
    <col min="10247" max="10247" width="11.85546875" customWidth="1"/>
    <col min="10503" max="10503" width="11.85546875" customWidth="1"/>
    <col min="10759" max="10759" width="11.85546875" customWidth="1"/>
    <col min="11015" max="11015" width="11.85546875" customWidth="1"/>
    <col min="11271" max="11271" width="11.85546875" customWidth="1"/>
    <col min="11527" max="11527" width="11.85546875" customWidth="1"/>
    <col min="11783" max="11783" width="11.85546875" customWidth="1"/>
    <col min="12039" max="12039" width="11.85546875" customWidth="1"/>
    <col min="12295" max="12295" width="11.85546875" customWidth="1"/>
    <col min="12551" max="12551" width="11.85546875" customWidth="1"/>
    <col min="12807" max="12807" width="11.85546875" customWidth="1"/>
    <col min="13063" max="13063" width="11.85546875" customWidth="1"/>
    <col min="13319" max="13319" width="11.85546875" customWidth="1"/>
    <col min="13575" max="13575" width="11.85546875" customWidth="1"/>
    <col min="13831" max="13831" width="11.85546875" customWidth="1"/>
    <col min="14087" max="14087" width="11.85546875" customWidth="1"/>
    <col min="14343" max="14343" width="11.85546875" customWidth="1"/>
    <col min="14599" max="14599" width="11.85546875" customWidth="1"/>
    <col min="14855" max="14855" width="11.85546875" customWidth="1"/>
    <col min="15111" max="15111" width="11.85546875" customWidth="1"/>
    <col min="15367" max="15367" width="11.85546875" customWidth="1"/>
    <col min="15623" max="15623" width="11.85546875" customWidth="1"/>
    <col min="15879" max="15879" width="11.85546875" customWidth="1"/>
    <col min="16135" max="16135" width="11.85546875" customWidth="1"/>
  </cols>
  <sheetData>
    <row r="2" spans="2:29">
      <c r="C2" s="8" t="s">
        <v>152</v>
      </c>
      <c r="G2" s="9" t="s">
        <v>153</v>
      </c>
      <c r="AA2" s="9" t="s">
        <v>154</v>
      </c>
    </row>
    <row r="3" spans="2:29" ht="15.75" thickBot="1">
      <c r="C3" s="146" t="s">
        <v>155</v>
      </c>
      <c r="D3" s="146" t="s">
        <v>156</v>
      </c>
      <c r="E3" s="147" t="str">
        <f>IF(H3=AA4,"L/s","gpm")</f>
        <v>gpm</v>
      </c>
      <c r="F3" s="146" t="s">
        <v>10</v>
      </c>
      <c r="G3" s="163">
        <v>5</v>
      </c>
      <c r="H3" s="145" t="s">
        <v>84</v>
      </c>
      <c r="AA3" s="9" t="s">
        <v>84</v>
      </c>
    </row>
    <row r="4" spans="2:29">
      <c r="B4">
        <v>1</v>
      </c>
      <c r="C4" s="298">
        <v>30</v>
      </c>
      <c r="D4" s="164">
        <f>IF(C4="","",60/C4)</f>
        <v>2</v>
      </c>
      <c r="E4" s="165">
        <f t="shared" ref="E4:E23" si="0">IF(C4="","",bucket*D4/conv1)</f>
        <v>10</v>
      </c>
      <c r="F4" s="150">
        <f t="shared" ref="F4:F23" si="1">IF(E4="","",E4*conv2)</f>
        <v>10</v>
      </c>
      <c r="G4" s="9" t="s">
        <v>157</v>
      </c>
      <c r="H4" s="9">
        <f>HLOOKUP(H3,AA6:AC7,2,FALSE)</f>
        <v>1</v>
      </c>
      <c r="AA4" s="9" t="s">
        <v>158</v>
      </c>
    </row>
    <row r="5" spans="2:29">
      <c r="B5">
        <v>2</v>
      </c>
      <c r="C5" s="299">
        <v>35</v>
      </c>
      <c r="D5" s="166">
        <f t="shared" ref="D5:D23" si="2">IF(C5="","",60/C5)</f>
        <v>1.7142857142857142</v>
      </c>
      <c r="E5" s="167">
        <f t="shared" si="0"/>
        <v>8.5714285714285712</v>
      </c>
      <c r="F5" s="150">
        <f t="shared" si="1"/>
        <v>8.5714285714285712</v>
      </c>
      <c r="G5" s="9" t="s">
        <v>159</v>
      </c>
      <c r="H5" s="9">
        <f>HLOOKUP(H3,AA6:AC8,3,FALSE)</f>
        <v>1</v>
      </c>
    </row>
    <row r="6" spans="2:29">
      <c r="B6">
        <v>3</v>
      </c>
      <c r="C6" s="299">
        <v>40</v>
      </c>
      <c r="D6" s="166">
        <f t="shared" si="2"/>
        <v>1.5</v>
      </c>
      <c r="E6" s="167">
        <f t="shared" si="0"/>
        <v>7.5</v>
      </c>
      <c r="F6" s="150">
        <f t="shared" si="1"/>
        <v>7.5</v>
      </c>
      <c r="AA6" s="9" t="s">
        <v>154</v>
      </c>
      <c r="AB6" s="9" t="s">
        <v>84</v>
      </c>
      <c r="AC6" s="9" t="s">
        <v>158</v>
      </c>
    </row>
    <row r="7" spans="2:29">
      <c r="B7">
        <v>4</v>
      </c>
      <c r="C7" s="299">
        <v>55</v>
      </c>
      <c r="D7" s="166">
        <f t="shared" si="2"/>
        <v>1.0909090909090908</v>
      </c>
      <c r="E7" s="167">
        <f t="shared" si="0"/>
        <v>5.4545454545454541</v>
      </c>
      <c r="F7" s="150">
        <f t="shared" si="1"/>
        <v>5.4545454545454541</v>
      </c>
      <c r="AA7">
        <v>128</v>
      </c>
      <c r="AB7">
        <v>1</v>
      </c>
      <c r="AC7">
        <v>60</v>
      </c>
    </row>
    <row r="8" spans="2:29" ht="17.25">
      <c r="B8">
        <v>5</v>
      </c>
      <c r="C8" s="299">
        <v>40</v>
      </c>
      <c r="D8" s="166">
        <f t="shared" si="2"/>
        <v>1.5</v>
      </c>
      <c r="E8" s="167">
        <f t="shared" si="0"/>
        <v>7.5</v>
      </c>
      <c r="F8" s="150">
        <f t="shared" si="1"/>
        <v>7.5</v>
      </c>
      <c r="AA8" s="9">
        <v>1</v>
      </c>
      <c r="AB8" s="168">
        <v>1</v>
      </c>
      <c r="AC8">
        <f>60/3.785</f>
        <v>15.852047556142669</v>
      </c>
    </row>
    <row r="9" spans="2:29">
      <c r="B9">
        <v>6</v>
      </c>
      <c r="C9" s="299">
        <v>60</v>
      </c>
      <c r="D9" s="166">
        <f t="shared" si="2"/>
        <v>1</v>
      </c>
      <c r="E9" s="167">
        <f t="shared" si="0"/>
        <v>5</v>
      </c>
      <c r="F9" s="150">
        <f t="shared" si="1"/>
        <v>5</v>
      </c>
    </row>
    <row r="10" spans="2:29">
      <c r="B10">
        <v>7</v>
      </c>
      <c r="C10" s="299">
        <v>45</v>
      </c>
      <c r="D10" s="166">
        <f t="shared" si="2"/>
        <v>1.3333333333333333</v>
      </c>
      <c r="E10" s="247">
        <f t="shared" si="0"/>
        <v>6.6666666666666661</v>
      </c>
      <c r="F10" s="150">
        <f t="shared" si="1"/>
        <v>6.6666666666666661</v>
      </c>
    </row>
    <row r="11" spans="2:29">
      <c r="B11">
        <v>8</v>
      </c>
      <c r="C11" s="299">
        <v>37</v>
      </c>
      <c r="D11" s="166">
        <f t="shared" si="2"/>
        <v>1.6216216216216217</v>
      </c>
      <c r="E11" s="167">
        <f t="shared" si="0"/>
        <v>8.1081081081081088</v>
      </c>
      <c r="F11" s="150">
        <f t="shared" si="1"/>
        <v>8.1081081081081088</v>
      </c>
    </row>
    <row r="12" spans="2:29">
      <c r="B12">
        <v>9</v>
      </c>
      <c r="C12" s="299">
        <v>42</v>
      </c>
      <c r="D12" s="166">
        <f t="shared" si="2"/>
        <v>1.4285714285714286</v>
      </c>
      <c r="E12" s="167">
        <f t="shared" si="0"/>
        <v>7.1428571428571432</v>
      </c>
      <c r="F12" s="150">
        <f t="shared" si="1"/>
        <v>7.1428571428571432</v>
      </c>
    </row>
    <row r="13" spans="2:29">
      <c r="B13">
        <v>10</v>
      </c>
      <c r="C13" s="299">
        <v>44</v>
      </c>
      <c r="D13" s="166">
        <f t="shared" si="2"/>
        <v>1.3636363636363635</v>
      </c>
      <c r="E13" s="167">
        <f t="shared" si="0"/>
        <v>6.8181818181818175</v>
      </c>
      <c r="F13" s="150">
        <f t="shared" si="1"/>
        <v>6.8181818181818175</v>
      </c>
    </row>
    <row r="14" spans="2:29">
      <c r="B14">
        <v>11</v>
      </c>
      <c r="C14" s="299">
        <v>33</v>
      </c>
      <c r="D14" s="166">
        <f t="shared" si="2"/>
        <v>1.8181818181818181</v>
      </c>
      <c r="E14" s="167">
        <f t="shared" si="0"/>
        <v>9.0909090909090899</v>
      </c>
      <c r="F14" s="150">
        <f t="shared" si="1"/>
        <v>9.0909090909090899</v>
      </c>
    </row>
    <row r="15" spans="2:29">
      <c r="B15">
        <v>12</v>
      </c>
      <c r="C15" s="299">
        <v>41</v>
      </c>
      <c r="D15" s="166">
        <f t="shared" si="2"/>
        <v>1.4634146341463414</v>
      </c>
      <c r="E15" s="167">
        <f t="shared" si="0"/>
        <v>7.3170731707317067</v>
      </c>
      <c r="F15" s="150">
        <f t="shared" si="1"/>
        <v>7.3170731707317067</v>
      </c>
    </row>
    <row r="16" spans="2:29">
      <c r="B16">
        <v>13</v>
      </c>
      <c r="C16" s="299">
        <v>42</v>
      </c>
      <c r="D16" s="166">
        <f t="shared" si="2"/>
        <v>1.4285714285714286</v>
      </c>
      <c r="E16" s="167">
        <f t="shared" si="0"/>
        <v>7.1428571428571432</v>
      </c>
      <c r="F16" s="150">
        <f t="shared" si="1"/>
        <v>7.1428571428571432</v>
      </c>
    </row>
    <row r="17" spans="2:6">
      <c r="B17">
        <v>14</v>
      </c>
      <c r="C17" s="299">
        <v>41</v>
      </c>
      <c r="D17" s="166">
        <f t="shared" si="2"/>
        <v>1.4634146341463414</v>
      </c>
      <c r="E17" s="167">
        <f t="shared" si="0"/>
        <v>7.3170731707317067</v>
      </c>
      <c r="F17" s="150">
        <f t="shared" si="1"/>
        <v>7.3170731707317067</v>
      </c>
    </row>
    <row r="18" spans="2:6">
      <c r="B18">
        <v>15</v>
      </c>
      <c r="C18" s="299"/>
      <c r="D18" s="166" t="str">
        <f t="shared" si="2"/>
        <v/>
      </c>
      <c r="E18" s="167" t="str">
        <f t="shared" si="0"/>
        <v/>
      </c>
      <c r="F18" s="150" t="str">
        <f t="shared" si="1"/>
        <v/>
      </c>
    </row>
    <row r="19" spans="2:6">
      <c r="B19">
        <v>16</v>
      </c>
      <c r="C19" s="299"/>
      <c r="D19" s="166" t="str">
        <f t="shared" si="2"/>
        <v/>
      </c>
      <c r="E19" s="167" t="str">
        <f t="shared" si="0"/>
        <v/>
      </c>
      <c r="F19" s="150" t="str">
        <f t="shared" si="1"/>
        <v/>
      </c>
    </row>
    <row r="20" spans="2:6">
      <c r="B20">
        <v>17</v>
      </c>
      <c r="C20" s="299"/>
      <c r="D20" s="166" t="str">
        <f t="shared" si="2"/>
        <v/>
      </c>
      <c r="E20" s="167" t="str">
        <f t="shared" si="0"/>
        <v/>
      </c>
      <c r="F20" s="150" t="str">
        <f t="shared" si="1"/>
        <v/>
      </c>
    </row>
    <row r="21" spans="2:6">
      <c r="B21">
        <v>18</v>
      </c>
      <c r="C21" s="299"/>
      <c r="D21" s="166" t="str">
        <f t="shared" si="2"/>
        <v/>
      </c>
      <c r="E21" s="167" t="str">
        <f t="shared" si="0"/>
        <v/>
      </c>
      <c r="F21" s="150" t="str">
        <f t="shared" si="1"/>
        <v/>
      </c>
    </row>
    <row r="22" spans="2:6">
      <c r="B22">
        <v>19</v>
      </c>
      <c r="C22" s="299"/>
      <c r="D22" s="166" t="str">
        <f t="shared" si="2"/>
        <v/>
      </c>
      <c r="E22" s="167" t="str">
        <f t="shared" si="0"/>
        <v/>
      </c>
      <c r="F22" s="150" t="str">
        <f t="shared" si="1"/>
        <v/>
      </c>
    </row>
    <row r="23" spans="2:6" ht="15.75" thickBot="1">
      <c r="B23">
        <v>20</v>
      </c>
      <c r="C23" s="300"/>
      <c r="D23" s="169" t="str">
        <f t="shared" si="2"/>
        <v/>
      </c>
      <c r="E23" s="170" t="str">
        <f t="shared" si="0"/>
        <v/>
      </c>
      <c r="F23" s="150" t="str">
        <f t="shared" si="1"/>
        <v/>
      </c>
    </row>
  </sheetData>
  <conditionalFormatting sqref="E4:E23">
    <cfRule type="cellIs" dxfId="10" priority="1" stopIfTrue="1" operator="lessThan">
      <formula>0</formula>
    </cfRule>
  </conditionalFormatting>
  <dataValidations count="1">
    <dataValidation type="list" allowBlank="1"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formula1>$AA$2:$AA$4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P36"/>
  <sheetViews>
    <sheetView topLeftCell="A7" workbookViewId="0">
      <selection activeCell="C33" sqref="C33"/>
    </sheetView>
  </sheetViews>
  <sheetFormatPr defaultRowHeight="15"/>
  <cols>
    <col min="1" max="1" width="6.85546875" customWidth="1"/>
    <col min="2" max="2" width="25" customWidth="1"/>
    <col min="3" max="3" width="12.7109375" customWidth="1"/>
    <col min="4" max="4" width="5.7109375" customWidth="1"/>
    <col min="5" max="5" width="5.85546875" customWidth="1"/>
    <col min="6" max="6" width="1.7109375" customWidth="1"/>
    <col min="13" max="13" width="1.85546875" customWidth="1"/>
    <col min="26" max="26" width="14" customWidth="1"/>
    <col min="27" max="27" width="16.28515625" customWidth="1"/>
    <col min="32" max="32" width="8.85546875" customWidth="1"/>
    <col min="33" max="33" width="12.7109375" customWidth="1"/>
    <col min="257" max="257" width="6.85546875" customWidth="1"/>
    <col min="258" max="258" width="25" customWidth="1"/>
    <col min="259" max="259" width="12.7109375" customWidth="1"/>
    <col min="260" max="260" width="5.7109375" customWidth="1"/>
    <col min="261" max="261" width="5.85546875" customWidth="1"/>
    <col min="262" max="262" width="1.7109375" customWidth="1"/>
    <col min="269" max="269" width="1.85546875" customWidth="1"/>
    <col min="282" max="282" width="14" customWidth="1"/>
    <col min="283" max="283" width="16.28515625" customWidth="1"/>
    <col min="288" max="288" width="8.85546875" customWidth="1"/>
    <col min="289" max="289" width="12.7109375" customWidth="1"/>
    <col min="513" max="513" width="6.85546875" customWidth="1"/>
    <col min="514" max="514" width="25" customWidth="1"/>
    <col min="515" max="515" width="12.7109375" customWidth="1"/>
    <col min="516" max="516" width="5.7109375" customWidth="1"/>
    <col min="517" max="517" width="5.85546875" customWidth="1"/>
    <col min="518" max="518" width="1.7109375" customWidth="1"/>
    <col min="525" max="525" width="1.85546875" customWidth="1"/>
    <col min="538" max="538" width="14" customWidth="1"/>
    <col min="539" max="539" width="16.28515625" customWidth="1"/>
    <col min="544" max="544" width="8.85546875" customWidth="1"/>
    <col min="545" max="545" width="12.7109375" customWidth="1"/>
    <col min="769" max="769" width="6.85546875" customWidth="1"/>
    <col min="770" max="770" width="25" customWidth="1"/>
    <col min="771" max="771" width="12.7109375" customWidth="1"/>
    <col min="772" max="772" width="5.7109375" customWidth="1"/>
    <col min="773" max="773" width="5.85546875" customWidth="1"/>
    <col min="774" max="774" width="1.7109375" customWidth="1"/>
    <col min="781" max="781" width="1.85546875" customWidth="1"/>
    <col min="794" max="794" width="14" customWidth="1"/>
    <col min="795" max="795" width="16.28515625" customWidth="1"/>
    <col min="800" max="800" width="8.85546875" customWidth="1"/>
    <col min="801" max="801" width="12.7109375" customWidth="1"/>
    <col min="1025" max="1025" width="6.85546875" customWidth="1"/>
    <col min="1026" max="1026" width="25" customWidth="1"/>
    <col min="1027" max="1027" width="12.7109375" customWidth="1"/>
    <col min="1028" max="1028" width="5.7109375" customWidth="1"/>
    <col min="1029" max="1029" width="5.85546875" customWidth="1"/>
    <col min="1030" max="1030" width="1.7109375" customWidth="1"/>
    <col min="1037" max="1037" width="1.85546875" customWidth="1"/>
    <col min="1050" max="1050" width="14" customWidth="1"/>
    <col min="1051" max="1051" width="16.28515625" customWidth="1"/>
    <col min="1056" max="1056" width="8.85546875" customWidth="1"/>
    <col min="1057" max="1057" width="12.7109375" customWidth="1"/>
    <col min="1281" max="1281" width="6.85546875" customWidth="1"/>
    <col min="1282" max="1282" width="25" customWidth="1"/>
    <col min="1283" max="1283" width="12.7109375" customWidth="1"/>
    <col min="1284" max="1284" width="5.7109375" customWidth="1"/>
    <col min="1285" max="1285" width="5.85546875" customWidth="1"/>
    <col min="1286" max="1286" width="1.7109375" customWidth="1"/>
    <col min="1293" max="1293" width="1.85546875" customWidth="1"/>
    <col min="1306" max="1306" width="14" customWidth="1"/>
    <col min="1307" max="1307" width="16.28515625" customWidth="1"/>
    <col min="1312" max="1312" width="8.85546875" customWidth="1"/>
    <col min="1313" max="1313" width="12.7109375" customWidth="1"/>
    <col min="1537" max="1537" width="6.85546875" customWidth="1"/>
    <col min="1538" max="1538" width="25" customWidth="1"/>
    <col min="1539" max="1539" width="12.7109375" customWidth="1"/>
    <col min="1540" max="1540" width="5.7109375" customWidth="1"/>
    <col min="1541" max="1541" width="5.85546875" customWidth="1"/>
    <col min="1542" max="1542" width="1.7109375" customWidth="1"/>
    <col min="1549" max="1549" width="1.85546875" customWidth="1"/>
    <col min="1562" max="1562" width="14" customWidth="1"/>
    <col min="1563" max="1563" width="16.28515625" customWidth="1"/>
    <col min="1568" max="1568" width="8.85546875" customWidth="1"/>
    <col min="1569" max="1569" width="12.7109375" customWidth="1"/>
    <col min="1793" max="1793" width="6.85546875" customWidth="1"/>
    <col min="1794" max="1794" width="25" customWidth="1"/>
    <col min="1795" max="1795" width="12.7109375" customWidth="1"/>
    <col min="1796" max="1796" width="5.7109375" customWidth="1"/>
    <col min="1797" max="1797" width="5.85546875" customWidth="1"/>
    <col min="1798" max="1798" width="1.7109375" customWidth="1"/>
    <col min="1805" max="1805" width="1.85546875" customWidth="1"/>
    <col min="1818" max="1818" width="14" customWidth="1"/>
    <col min="1819" max="1819" width="16.28515625" customWidth="1"/>
    <col min="1824" max="1824" width="8.85546875" customWidth="1"/>
    <col min="1825" max="1825" width="12.7109375" customWidth="1"/>
    <col min="2049" max="2049" width="6.85546875" customWidth="1"/>
    <col min="2050" max="2050" width="25" customWidth="1"/>
    <col min="2051" max="2051" width="12.7109375" customWidth="1"/>
    <col min="2052" max="2052" width="5.7109375" customWidth="1"/>
    <col min="2053" max="2053" width="5.85546875" customWidth="1"/>
    <col min="2054" max="2054" width="1.7109375" customWidth="1"/>
    <col min="2061" max="2061" width="1.85546875" customWidth="1"/>
    <col min="2074" max="2074" width="14" customWidth="1"/>
    <col min="2075" max="2075" width="16.28515625" customWidth="1"/>
    <col min="2080" max="2080" width="8.85546875" customWidth="1"/>
    <col min="2081" max="2081" width="12.7109375" customWidth="1"/>
    <col min="2305" max="2305" width="6.85546875" customWidth="1"/>
    <col min="2306" max="2306" width="25" customWidth="1"/>
    <col min="2307" max="2307" width="12.7109375" customWidth="1"/>
    <col min="2308" max="2308" width="5.7109375" customWidth="1"/>
    <col min="2309" max="2309" width="5.85546875" customWidth="1"/>
    <col min="2310" max="2310" width="1.7109375" customWidth="1"/>
    <col min="2317" max="2317" width="1.85546875" customWidth="1"/>
    <col min="2330" max="2330" width="14" customWidth="1"/>
    <col min="2331" max="2331" width="16.28515625" customWidth="1"/>
    <col min="2336" max="2336" width="8.85546875" customWidth="1"/>
    <col min="2337" max="2337" width="12.7109375" customWidth="1"/>
    <col min="2561" max="2561" width="6.85546875" customWidth="1"/>
    <col min="2562" max="2562" width="25" customWidth="1"/>
    <col min="2563" max="2563" width="12.7109375" customWidth="1"/>
    <col min="2564" max="2564" width="5.7109375" customWidth="1"/>
    <col min="2565" max="2565" width="5.85546875" customWidth="1"/>
    <col min="2566" max="2566" width="1.7109375" customWidth="1"/>
    <col min="2573" max="2573" width="1.85546875" customWidth="1"/>
    <col min="2586" max="2586" width="14" customWidth="1"/>
    <col min="2587" max="2587" width="16.28515625" customWidth="1"/>
    <col min="2592" max="2592" width="8.85546875" customWidth="1"/>
    <col min="2593" max="2593" width="12.7109375" customWidth="1"/>
    <col min="2817" max="2817" width="6.85546875" customWidth="1"/>
    <col min="2818" max="2818" width="25" customWidth="1"/>
    <col min="2819" max="2819" width="12.7109375" customWidth="1"/>
    <col min="2820" max="2820" width="5.7109375" customWidth="1"/>
    <col min="2821" max="2821" width="5.85546875" customWidth="1"/>
    <col min="2822" max="2822" width="1.7109375" customWidth="1"/>
    <col min="2829" max="2829" width="1.85546875" customWidth="1"/>
    <col min="2842" max="2842" width="14" customWidth="1"/>
    <col min="2843" max="2843" width="16.28515625" customWidth="1"/>
    <col min="2848" max="2848" width="8.85546875" customWidth="1"/>
    <col min="2849" max="2849" width="12.7109375" customWidth="1"/>
    <col min="3073" max="3073" width="6.85546875" customWidth="1"/>
    <col min="3074" max="3074" width="25" customWidth="1"/>
    <col min="3075" max="3075" width="12.7109375" customWidth="1"/>
    <col min="3076" max="3076" width="5.7109375" customWidth="1"/>
    <col min="3077" max="3077" width="5.85546875" customWidth="1"/>
    <col min="3078" max="3078" width="1.7109375" customWidth="1"/>
    <col min="3085" max="3085" width="1.85546875" customWidth="1"/>
    <col min="3098" max="3098" width="14" customWidth="1"/>
    <col min="3099" max="3099" width="16.28515625" customWidth="1"/>
    <col min="3104" max="3104" width="8.85546875" customWidth="1"/>
    <col min="3105" max="3105" width="12.7109375" customWidth="1"/>
    <col min="3329" max="3329" width="6.85546875" customWidth="1"/>
    <col min="3330" max="3330" width="25" customWidth="1"/>
    <col min="3331" max="3331" width="12.7109375" customWidth="1"/>
    <col min="3332" max="3332" width="5.7109375" customWidth="1"/>
    <col min="3333" max="3333" width="5.85546875" customWidth="1"/>
    <col min="3334" max="3334" width="1.7109375" customWidth="1"/>
    <col min="3341" max="3341" width="1.85546875" customWidth="1"/>
    <col min="3354" max="3354" width="14" customWidth="1"/>
    <col min="3355" max="3355" width="16.28515625" customWidth="1"/>
    <col min="3360" max="3360" width="8.85546875" customWidth="1"/>
    <col min="3361" max="3361" width="12.7109375" customWidth="1"/>
    <col min="3585" max="3585" width="6.85546875" customWidth="1"/>
    <col min="3586" max="3586" width="25" customWidth="1"/>
    <col min="3587" max="3587" width="12.7109375" customWidth="1"/>
    <col min="3588" max="3588" width="5.7109375" customWidth="1"/>
    <col min="3589" max="3589" width="5.85546875" customWidth="1"/>
    <col min="3590" max="3590" width="1.7109375" customWidth="1"/>
    <col min="3597" max="3597" width="1.85546875" customWidth="1"/>
    <col min="3610" max="3610" width="14" customWidth="1"/>
    <col min="3611" max="3611" width="16.28515625" customWidth="1"/>
    <col min="3616" max="3616" width="8.85546875" customWidth="1"/>
    <col min="3617" max="3617" width="12.7109375" customWidth="1"/>
    <col min="3841" max="3841" width="6.85546875" customWidth="1"/>
    <col min="3842" max="3842" width="25" customWidth="1"/>
    <col min="3843" max="3843" width="12.7109375" customWidth="1"/>
    <col min="3844" max="3844" width="5.7109375" customWidth="1"/>
    <col min="3845" max="3845" width="5.85546875" customWidth="1"/>
    <col min="3846" max="3846" width="1.7109375" customWidth="1"/>
    <col min="3853" max="3853" width="1.85546875" customWidth="1"/>
    <col min="3866" max="3866" width="14" customWidth="1"/>
    <col min="3867" max="3867" width="16.28515625" customWidth="1"/>
    <col min="3872" max="3872" width="8.85546875" customWidth="1"/>
    <col min="3873" max="3873" width="12.7109375" customWidth="1"/>
    <col min="4097" max="4097" width="6.85546875" customWidth="1"/>
    <col min="4098" max="4098" width="25" customWidth="1"/>
    <col min="4099" max="4099" width="12.7109375" customWidth="1"/>
    <col min="4100" max="4100" width="5.7109375" customWidth="1"/>
    <col min="4101" max="4101" width="5.85546875" customWidth="1"/>
    <col min="4102" max="4102" width="1.7109375" customWidth="1"/>
    <col min="4109" max="4109" width="1.85546875" customWidth="1"/>
    <col min="4122" max="4122" width="14" customWidth="1"/>
    <col min="4123" max="4123" width="16.28515625" customWidth="1"/>
    <col min="4128" max="4128" width="8.85546875" customWidth="1"/>
    <col min="4129" max="4129" width="12.7109375" customWidth="1"/>
    <col min="4353" max="4353" width="6.85546875" customWidth="1"/>
    <col min="4354" max="4354" width="25" customWidth="1"/>
    <col min="4355" max="4355" width="12.7109375" customWidth="1"/>
    <col min="4356" max="4356" width="5.7109375" customWidth="1"/>
    <col min="4357" max="4357" width="5.85546875" customWidth="1"/>
    <col min="4358" max="4358" width="1.7109375" customWidth="1"/>
    <col min="4365" max="4365" width="1.85546875" customWidth="1"/>
    <col min="4378" max="4378" width="14" customWidth="1"/>
    <col min="4379" max="4379" width="16.28515625" customWidth="1"/>
    <col min="4384" max="4384" width="8.85546875" customWidth="1"/>
    <col min="4385" max="4385" width="12.7109375" customWidth="1"/>
    <col min="4609" max="4609" width="6.85546875" customWidth="1"/>
    <col min="4610" max="4610" width="25" customWidth="1"/>
    <col min="4611" max="4611" width="12.7109375" customWidth="1"/>
    <col min="4612" max="4612" width="5.7109375" customWidth="1"/>
    <col min="4613" max="4613" width="5.85546875" customWidth="1"/>
    <col min="4614" max="4614" width="1.7109375" customWidth="1"/>
    <col min="4621" max="4621" width="1.85546875" customWidth="1"/>
    <col min="4634" max="4634" width="14" customWidth="1"/>
    <col min="4635" max="4635" width="16.28515625" customWidth="1"/>
    <col min="4640" max="4640" width="8.85546875" customWidth="1"/>
    <col min="4641" max="4641" width="12.7109375" customWidth="1"/>
    <col min="4865" max="4865" width="6.85546875" customWidth="1"/>
    <col min="4866" max="4866" width="25" customWidth="1"/>
    <col min="4867" max="4867" width="12.7109375" customWidth="1"/>
    <col min="4868" max="4868" width="5.7109375" customWidth="1"/>
    <col min="4869" max="4869" width="5.85546875" customWidth="1"/>
    <col min="4870" max="4870" width="1.7109375" customWidth="1"/>
    <col min="4877" max="4877" width="1.85546875" customWidth="1"/>
    <col min="4890" max="4890" width="14" customWidth="1"/>
    <col min="4891" max="4891" width="16.28515625" customWidth="1"/>
    <col min="4896" max="4896" width="8.85546875" customWidth="1"/>
    <col min="4897" max="4897" width="12.7109375" customWidth="1"/>
    <col min="5121" max="5121" width="6.85546875" customWidth="1"/>
    <col min="5122" max="5122" width="25" customWidth="1"/>
    <col min="5123" max="5123" width="12.7109375" customWidth="1"/>
    <col min="5124" max="5124" width="5.7109375" customWidth="1"/>
    <col min="5125" max="5125" width="5.85546875" customWidth="1"/>
    <col min="5126" max="5126" width="1.7109375" customWidth="1"/>
    <col min="5133" max="5133" width="1.85546875" customWidth="1"/>
    <col min="5146" max="5146" width="14" customWidth="1"/>
    <col min="5147" max="5147" width="16.28515625" customWidth="1"/>
    <col min="5152" max="5152" width="8.85546875" customWidth="1"/>
    <col min="5153" max="5153" width="12.7109375" customWidth="1"/>
    <col min="5377" max="5377" width="6.85546875" customWidth="1"/>
    <col min="5378" max="5378" width="25" customWidth="1"/>
    <col min="5379" max="5379" width="12.7109375" customWidth="1"/>
    <col min="5380" max="5380" width="5.7109375" customWidth="1"/>
    <col min="5381" max="5381" width="5.85546875" customWidth="1"/>
    <col min="5382" max="5382" width="1.7109375" customWidth="1"/>
    <col min="5389" max="5389" width="1.85546875" customWidth="1"/>
    <col min="5402" max="5402" width="14" customWidth="1"/>
    <col min="5403" max="5403" width="16.28515625" customWidth="1"/>
    <col min="5408" max="5408" width="8.85546875" customWidth="1"/>
    <col min="5409" max="5409" width="12.7109375" customWidth="1"/>
    <col min="5633" max="5633" width="6.85546875" customWidth="1"/>
    <col min="5634" max="5634" width="25" customWidth="1"/>
    <col min="5635" max="5635" width="12.7109375" customWidth="1"/>
    <col min="5636" max="5636" width="5.7109375" customWidth="1"/>
    <col min="5637" max="5637" width="5.85546875" customWidth="1"/>
    <col min="5638" max="5638" width="1.7109375" customWidth="1"/>
    <col min="5645" max="5645" width="1.85546875" customWidth="1"/>
    <col min="5658" max="5658" width="14" customWidth="1"/>
    <col min="5659" max="5659" width="16.28515625" customWidth="1"/>
    <col min="5664" max="5664" width="8.85546875" customWidth="1"/>
    <col min="5665" max="5665" width="12.7109375" customWidth="1"/>
    <col min="5889" max="5889" width="6.85546875" customWidth="1"/>
    <col min="5890" max="5890" width="25" customWidth="1"/>
    <col min="5891" max="5891" width="12.7109375" customWidth="1"/>
    <col min="5892" max="5892" width="5.7109375" customWidth="1"/>
    <col min="5893" max="5893" width="5.85546875" customWidth="1"/>
    <col min="5894" max="5894" width="1.7109375" customWidth="1"/>
    <col min="5901" max="5901" width="1.85546875" customWidth="1"/>
    <col min="5914" max="5914" width="14" customWidth="1"/>
    <col min="5915" max="5915" width="16.28515625" customWidth="1"/>
    <col min="5920" max="5920" width="8.85546875" customWidth="1"/>
    <col min="5921" max="5921" width="12.7109375" customWidth="1"/>
    <col min="6145" max="6145" width="6.85546875" customWidth="1"/>
    <col min="6146" max="6146" width="25" customWidth="1"/>
    <col min="6147" max="6147" width="12.7109375" customWidth="1"/>
    <col min="6148" max="6148" width="5.7109375" customWidth="1"/>
    <col min="6149" max="6149" width="5.85546875" customWidth="1"/>
    <col min="6150" max="6150" width="1.7109375" customWidth="1"/>
    <col min="6157" max="6157" width="1.85546875" customWidth="1"/>
    <col min="6170" max="6170" width="14" customWidth="1"/>
    <col min="6171" max="6171" width="16.28515625" customWidth="1"/>
    <col min="6176" max="6176" width="8.85546875" customWidth="1"/>
    <col min="6177" max="6177" width="12.7109375" customWidth="1"/>
    <col min="6401" max="6401" width="6.85546875" customWidth="1"/>
    <col min="6402" max="6402" width="25" customWidth="1"/>
    <col min="6403" max="6403" width="12.7109375" customWidth="1"/>
    <col min="6404" max="6404" width="5.7109375" customWidth="1"/>
    <col min="6405" max="6405" width="5.85546875" customWidth="1"/>
    <col min="6406" max="6406" width="1.7109375" customWidth="1"/>
    <col min="6413" max="6413" width="1.85546875" customWidth="1"/>
    <col min="6426" max="6426" width="14" customWidth="1"/>
    <col min="6427" max="6427" width="16.28515625" customWidth="1"/>
    <col min="6432" max="6432" width="8.85546875" customWidth="1"/>
    <col min="6433" max="6433" width="12.7109375" customWidth="1"/>
    <col min="6657" max="6657" width="6.85546875" customWidth="1"/>
    <col min="6658" max="6658" width="25" customWidth="1"/>
    <col min="6659" max="6659" width="12.7109375" customWidth="1"/>
    <col min="6660" max="6660" width="5.7109375" customWidth="1"/>
    <col min="6661" max="6661" width="5.85546875" customWidth="1"/>
    <col min="6662" max="6662" width="1.7109375" customWidth="1"/>
    <col min="6669" max="6669" width="1.85546875" customWidth="1"/>
    <col min="6682" max="6682" width="14" customWidth="1"/>
    <col min="6683" max="6683" width="16.28515625" customWidth="1"/>
    <col min="6688" max="6688" width="8.85546875" customWidth="1"/>
    <col min="6689" max="6689" width="12.7109375" customWidth="1"/>
    <col min="6913" max="6913" width="6.85546875" customWidth="1"/>
    <col min="6914" max="6914" width="25" customWidth="1"/>
    <col min="6915" max="6915" width="12.7109375" customWidth="1"/>
    <col min="6916" max="6916" width="5.7109375" customWidth="1"/>
    <col min="6917" max="6917" width="5.85546875" customWidth="1"/>
    <col min="6918" max="6918" width="1.7109375" customWidth="1"/>
    <col min="6925" max="6925" width="1.85546875" customWidth="1"/>
    <col min="6938" max="6938" width="14" customWidth="1"/>
    <col min="6939" max="6939" width="16.28515625" customWidth="1"/>
    <col min="6944" max="6944" width="8.85546875" customWidth="1"/>
    <col min="6945" max="6945" width="12.7109375" customWidth="1"/>
    <col min="7169" max="7169" width="6.85546875" customWidth="1"/>
    <col min="7170" max="7170" width="25" customWidth="1"/>
    <col min="7171" max="7171" width="12.7109375" customWidth="1"/>
    <col min="7172" max="7172" width="5.7109375" customWidth="1"/>
    <col min="7173" max="7173" width="5.85546875" customWidth="1"/>
    <col min="7174" max="7174" width="1.7109375" customWidth="1"/>
    <col min="7181" max="7181" width="1.85546875" customWidth="1"/>
    <col min="7194" max="7194" width="14" customWidth="1"/>
    <col min="7195" max="7195" width="16.28515625" customWidth="1"/>
    <col min="7200" max="7200" width="8.85546875" customWidth="1"/>
    <col min="7201" max="7201" width="12.7109375" customWidth="1"/>
    <col min="7425" max="7425" width="6.85546875" customWidth="1"/>
    <col min="7426" max="7426" width="25" customWidth="1"/>
    <col min="7427" max="7427" width="12.7109375" customWidth="1"/>
    <col min="7428" max="7428" width="5.7109375" customWidth="1"/>
    <col min="7429" max="7429" width="5.85546875" customWidth="1"/>
    <col min="7430" max="7430" width="1.7109375" customWidth="1"/>
    <col min="7437" max="7437" width="1.85546875" customWidth="1"/>
    <col min="7450" max="7450" width="14" customWidth="1"/>
    <col min="7451" max="7451" width="16.28515625" customWidth="1"/>
    <col min="7456" max="7456" width="8.85546875" customWidth="1"/>
    <col min="7457" max="7457" width="12.7109375" customWidth="1"/>
    <col min="7681" max="7681" width="6.85546875" customWidth="1"/>
    <col min="7682" max="7682" width="25" customWidth="1"/>
    <col min="7683" max="7683" width="12.7109375" customWidth="1"/>
    <col min="7684" max="7684" width="5.7109375" customWidth="1"/>
    <col min="7685" max="7685" width="5.85546875" customWidth="1"/>
    <col min="7686" max="7686" width="1.7109375" customWidth="1"/>
    <col min="7693" max="7693" width="1.85546875" customWidth="1"/>
    <col min="7706" max="7706" width="14" customWidth="1"/>
    <col min="7707" max="7707" width="16.28515625" customWidth="1"/>
    <col min="7712" max="7712" width="8.85546875" customWidth="1"/>
    <col min="7713" max="7713" width="12.7109375" customWidth="1"/>
    <col min="7937" max="7937" width="6.85546875" customWidth="1"/>
    <col min="7938" max="7938" width="25" customWidth="1"/>
    <col min="7939" max="7939" width="12.7109375" customWidth="1"/>
    <col min="7940" max="7940" width="5.7109375" customWidth="1"/>
    <col min="7941" max="7941" width="5.85546875" customWidth="1"/>
    <col min="7942" max="7942" width="1.7109375" customWidth="1"/>
    <col min="7949" max="7949" width="1.85546875" customWidth="1"/>
    <col min="7962" max="7962" width="14" customWidth="1"/>
    <col min="7963" max="7963" width="16.28515625" customWidth="1"/>
    <col min="7968" max="7968" width="8.85546875" customWidth="1"/>
    <col min="7969" max="7969" width="12.7109375" customWidth="1"/>
    <col min="8193" max="8193" width="6.85546875" customWidth="1"/>
    <col min="8194" max="8194" width="25" customWidth="1"/>
    <col min="8195" max="8195" width="12.7109375" customWidth="1"/>
    <col min="8196" max="8196" width="5.7109375" customWidth="1"/>
    <col min="8197" max="8197" width="5.85546875" customWidth="1"/>
    <col min="8198" max="8198" width="1.7109375" customWidth="1"/>
    <col min="8205" max="8205" width="1.85546875" customWidth="1"/>
    <col min="8218" max="8218" width="14" customWidth="1"/>
    <col min="8219" max="8219" width="16.28515625" customWidth="1"/>
    <col min="8224" max="8224" width="8.85546875" customWidth="1"/>
    <col min="8225" max="8225" width="12.7109375" customWidth="1"/>
    <col min="8449" max="8449" width="6.85546875" customWidth="1"/>
    <col min="8450" max="8450" width="25" customWidth="1"/>
    <col min="8451" max="8451" width="12.7109375" customWidth="1"/>
    <col min="8452" max="8452" width="5.7109375" customWidth="1"/>
    <col min="8453" max="8453" width="5.85546875" customWidth="1"/>
    <col min="8454" max="8454" width="1.7109375" customWidth="1"/>
    <col min="8461" max="8461" width="1.85546875" customWidth="1"/>
    <col min="8474" max="8474" width="14" customWidth="1"/>
    <col min="8475" max="8475" width="16.28515625" customWidth="1"/>
    <col min="8480" max="8480" width="8.85546875" customWidth="1"/>
    <col min="8481" max="8481" width="12.7109375" customWidth="1"/>
    <col min="8705" max="8705" width="6.85546875" customWidth="1"/>
    <col min="8706" max="8706" width="25" customWidth="1"/>
    <col min="8707" max="8707" width="12.7109375" customWidth="1"/>
    <col min="8708" max="8708" width="5.7109375" customWidth="1"/>
    <col min="8709" max="8709" width="5.85546875" customWidth="1"/>
    <col min="8710" max="8710" width="1.7109375" customWidth="1"/>
    <col min="8717" max="8717" width="1.85546875" customWidth="1"/>
    <col min="8730" max="8730" width="14" customWidth="1"/>
    <col min="8731" max="8731" width="16.28515625" customWidth="1"/>
    <col min="8736" max="8736" width="8.85546875" customWidth="1"/>
    <col min="8737" max="8737" width="12.7109375" customWidth="1"/>
    <col min="8961" max="8961" width="6.85546875" customWidth="1"/>
    <col min="8962" max="8962" width="25" customWidth="1"/>
    <col min="8963" max="8963" width="12.7109375" customWidth="1"/>
    <col min="8964" max="8964" width="5.7109375" customWidth="1"/>
    <col min="8965" max="8965" width="5.85546875" customWidth="1"/>
    <col min="8966" max="8966" width="1.7109375" customWidth="1"/>
    <col min="8973" max="8973" width="1.85546875" customWidth="1"/>
    <col min="8986" max="8986" width="14" customWidth="1"/>
    <col min="8987" max="8987" width="16.28515625" customWidth="1"/>
    <col min="8992" max="8992" width="8.85546875" customWidth="1"/>
    <col min="8993" max="8993" width="12.7109375" customWidth="1"/>
    <col min="9217" max="9217" width="6.85546875" customWidth="1"/>
    <col min="9218" max="9218" width="25" customWidth="1"/>
    <col min="9219" max="9219" width="12.7109375" customWidth="1"/>
    <col min="9220" max="9220" width="5.7109375" customWidth="1"/>
    <col min="9221" max="9221" width="5.85546875" customWidth="1"/>
    <col min="9222" max="9222" width="1.7109375" customWidth="1"/>
    <col min="9229" max="9229" width="1.85546875" customWidth="1"/>
    <col min="9242" max="9242" width="14" customWidth="1"/>
    <col min="9243" max="9243" width="16.28515625" customWidth="1"/>
    <col min="9248" max="9248" width="8.85546875" customWidth="1"/>
    <col min="9249" max="9249" width="12.7109375" customWidth="1"/>
    <col min="9473" max="9473" width="6.85546875" customWidth="1"/>
    <col min="9474" max="9474" width="25" customWidth="1"/>
    <col min="9475" max="9475" width="12.7109375" customWidth="1"/>
    <col min="9476" max="9476" width="5.7109375" customWidth="1"/>
    <col min="9477" max="9477" width="5.85546875" customWidth="1"/>
    <col min="9478" max="9478" width="1.7109375" customWidth="1"/>
    <col min="9485" max="9485" width="1.85546875" customWidth="1"/>
    <col min="9498" max="9498" width="14" customWidth="1"/>
    <col min="9499" max="9499" width="16.28515625" customWidth="1"/>
    <col min="9504" max="9504" width="8.85546875" customWidth="1"/>
    <col min="9505" max="9505" width="12.7109375" customWidth="1"/>
    <col min="9729" max="9729" width="6.85546875" customWidth="1"/>
    <col min="9730" max="9730" width="25" customWidth="1"/>
    <col min="9731" max="9731" width="12.7109375" customWidth="1"/>
    <col min="9732" max="9732" width="5.7109375" customWidth="1"/>
    <col min="9733" max="9733" width="5.85546875" customWidth="1"/>
    <col min="9734" max="9734" width="1.7109375" customWidth="1"/>
    <col min="9741" max="9741" width="1.85546875" customWidth="1"/>
    <col min="9754" max="9754" width="14" customWidth="1"/>
    <col min="9755" max="9755" width="16.28515625" customWidth="1"/>
    <col min="9760" max="9760" width="8.85546875" customWidth="1"/>
    <col min="9761" max="9761" width="12.7109375" customWidth="1"/>
    <col min="9985" max="9985" width="6.85546875" customWidth="1"/>
    <col min="9986" max="9986" width="25" customWidth="1"/>
    <col min="9987" max="9987" width="12.7109375" customWidth="1"/>
    <col min="9988" max="9988" width="5.7109375" customWidth="1"/>
    <col min="9989" max="9989" width="5.85546875" customWidth="1"/>
    <col min="9990" max="9990" width="1.7109375" customWidth="1"/>
    <col min="9997" max="9997" width="1.85546875" customWidth="1"/>
    <col min="10010" max="10010" width="14" customWidth="1"/>
    <col min="10011" max="10011" width="16.28515625" customWidth="1"/>
    <col min="10016" max="10016" width="8.85546875" customWidth="1"/>
    <col min="10017" max="10017" width="12.7109375" customWidth="1"/>
    <col min="10241" max="10241" width="6.85546875" customWidth="1"/>
    <col min="10242" max="10242" width="25" customWidth="1"/>
    <col min="10243" max="10243" width="12.7109375" customWidth="1"/>
    <col min="10244" max="10244" width="5.7109375" customWidth="1"/>
    <col min="10245" max="10245" width="5.85546875" customWidth="1"/>
    <col min="10246" max="10246" width="1.7109375" customWidth="1"/>
    <col min="10253" max="10253" width="1.85546875" customWidth="1"/>
    <col min="10266" max="10266" width="14" customWidth="1"/>
    <col min="10267" max="10267" width="16.28515625" customWidth="1"/>
    <col min="10272" max="10272" width="8.85546875" customWidth="1"/>
    <col min="10273" max="10273" width="12.7109375" customWidth="1"/>
    <col min="10497" max="10497" width="6.85546875" customWidth="1"/>
    <col min="10498" max="10498" width="25" customWidth="1"/>
    <col min="10499" max="10499" width="12.7109375" customWidth="1"/>
    <col min="10500" max="10500" width="5.7109375" customWidth="1"/>
    <col min="10501" max="10501" width="5.85546875" customWidth="1"/>
    <col min="10502" max="10502" width="1.7109375" customWidth="1"/>
    <col min="10509" max="10509" width="1.85546875" customWidth="1"/>
    <col min="10522" max="10522" width="14" customWidth="1"/>
    <col min="10523" max="10523" width="16.28515625" customWidth="1"/>
    <col min="10528" max="10528" width="8.85546875" customWidth="1"/>
    <col min="10529" max="10529" width="12.7109375" customWidth="1"/>
    <col min="10753" max="10753" width="6.85546875" customWidth="1"/>
    <col min="10754" max="10754" width="25" customWidth="1"/>
    <col min="10755" max="10755" width="12.7109375" customWidth="1"/>
    <col min="10756" max="10756" width="5.7109375" customWidth="1"/>
    <col min="10757" max="10757" width="5.85546875" customWidth="1"/>
    <col min="10758" max="10758" width="1.7109375" customWidth="1"/>
    <col min="10765" max="10765" width="1.85546875" customWidth="1"/>
    <col min="10778" max="10778" width="14" customWidth="1"/>
    <col min="10779" max="10779" width="16.28515625" customWidth="1"/>
    <col min="10784" max="10784" width="8.85546875" customWidth="1"/>
    <col min="10785" max="10785" width="12.7109375" customWidth="1"/>
    <col min="11009" max="11009" width="6.85546875" customWidth="1"/>
    <col min="11010" max="11010" width="25" customWidth="1"/>
    <col min="11011" max="11011" width="12.7109375" customWidth="1"/>
    <col min="11012" max="11012" width="5.7109375" customWidth="1"/>
    <col min="11013" max="11013" width="5.85546875" customWidth="1"/>
    <col min="11014" max="11014" width="1.7109375" customWidth="1"/>
    <col min="11021" max="11021" width="1.85546875" customWidth="1"/>
    <col min="11034" max="11034" width="14" customWidth="1"/>
    <col min="11035" max="11035" width="16.28515625" customWidth="1"/>
    <col min="11040" max="11040" width="8.85546875" customWidth="1"/>
    <col min="11041" max="11041" width="12.7109375" customWidth="1"/>
    <col min="11265" max="11265" width="6.85546875" customWidth="1"/>
    <col min="11266" max="11266" width="25" customWidth="1"/>
    <col min="11267" max="11267" width="12.7109375" customWidth="1"/>
    <col min="11268" max="11268" width="5.7109375" customWidth="1"/>
    <col min="11269" max="11269" width="5.85546875" customWidth="1"/>
    <col min="11270" max="11270" width="1.7109375" customWidth="1"/>
    <col min="11277" max="11277" width="1.85546875" customWidth="1"/>
    <col min="11290" max="11290" width="14" customWidth="1"/>
    <col min="11291" max="11291" width="16.28515625" customWidth="1"/>
    <col min="11296" max="11296" width="8.85546875" customWidth="1"/>
    <col min="11297" max="11297" width="12.7109375" customWidth="1"/>
    <col min="11521" max="11521" width="6.85546875" customWidth="1"/>
    <col min="11522" max="11522" width="25" customWidth="1"/>
    <col min="11523" max="11523" width="12.7109375" customWidth="1"/>
    <col min="11524" max="11524" width="5.7109375" customWidth="1"/>
    <col min="11525" max="11525" width="5.85546875" customWidth="1"/>
    <col min="11526" max="11526" width="1.7109375" customWidth="1"/>
    <col min="11533" max="11533" width="1.85546875" customWidth="1"/>
    <col min="11546" max="11546" width="14" customWidth="1"/>
    <col min="11547" max="11547" width="16.28515625" customWidth="1"/>
    <col min="11552" max="11552" width="8.85546875" customWidth="1"/>
    <col min="11553" max="11553" width="12.7109375" customWidth="1"/>
    <col min="11777" max="11777" width="6.85546875" customWidth="1"/>
    <col min="11778" max="11778" width="25" customWidth="1"/>
    <col min="11779" max="11779" width="12.7109375" customWidth="1"/>
    <col min="11780" max="11780" width="5.7109375" customWidth="1"/>
    <col min="11781" max="11781" width="5.85546875" customWidth="1"/>
    <col min="11782" max="11782" width="1.7109375" customWidth="1"/>
    <col min="11789" max="11789" width="1.85546875" customWidth="1"/>
    <col min="11802" max="11802" width="14" customWidth="1"/>
    <col min="11803" max="11803" width="16.28515625" customWidth="1"/>
    <col min="11808" max="11808" width="8.85546875" customWidth="1"/>
    <col min="11809" max="11809" width="12.7109375" customWidth="1"/>
    <col min="12033" max="12033" width="6.85546875" customWidth="1"/>
    <col min="12034" max="12034" width="25" customWidth="1"/>
    <col min="12035" max="12035" width="12.7109375" customWidth="1"/>
    <col min="12036" max="12036" width="5.7109375" customWidth="1"/>
    <col min="12037" max="12037" width="5.85546875" customWidth="1"/>
    <col min="12038" max="12038" width="1.7109375" customWidth="1"/>
    <col min="12045" max="12045" width="1.85546875" customWidth="1"/>
    <col min="12058" max="12058" width="14" customWidth="1"/>
    <col min="12059" max="12059" width="16.28515625" customWidth="1"/>
    <col min="12064" max="12064" width="8.85546875" customWidth="1"/>
    <col min="12065" max="12065" width="12.7109375" customWidth="1"/>
    <col min="12289" max="12289" width="6.85546875" customWidth="1"/>
    <col min="12290" max="12290" width="25" customWidth="1"/>
    <col min="12291" max="12291" width="12.7109375" customWidth="1"/>
    <col min="12292" max="12292" width="5.7109375" customWidth="1"/>
    <col min="12293" max="12293" width="5.85546875" customWidth="1"/>
    <col min="12294" max="12294" width="1.7109375" customWidth="1"/>
    <col min="12301" max="12301" width="1.85546875" customWidth="1"/>
    <col min="12314" max="12314" width="14" customWidth="1"/>
    <col min="12315" max="12315" width="16.28515625" customWidth="1"/>
    <col min="12320" max="12320" width="8.85546875" customWidth="1"/>
    <col min="12321" max="12321" width="12.7109375" customWidth="1"/>
    <col min="12545" max="12545" width="6.85546875" customWidth="1"/>
    <col min="12546" max="12546" width="25" customWidth="1"/>
    <col min="12547" max="12547" width="12.7109375" customWidth="1"/>
    <col min="12548" max="12548" width="5.7109375" customWidth="1"/>
    <col min="12549" max="12549" width="5.85546875" customWidth="1"/>
    <col min="12550" max="12550" width="1.7109375" customWidth="1"/>
    <col min="12557" max="12557" width="1.85546875" customWidth="1"/>
    <col min="12570" max="12570" width="14" customWidth="1"/>
    <col min="12571" max="12571" width="16.28515625" customWidth="1"/>
    <col min="12576" max="12576" width="8.85546875" customWidth="1"/>
    <col min="12577" max="12577" width="12.7109375" customWidth="1"/>
    <col min="12801" max="12801" width="6.85546875" customWidth="1"/>
    <col min="12802" max="12802" width="25" customWidth="1"/>
    <col min="12803" max="12803" width="12.7109375" customWidth="1"/>
    <col min="12804" max="12804" width="5.7109375" customWidth="1"/>
    <col min="12805" max="12805" width="5.85546875" customWidth="1"/>
    <col min="12806" max="12806" width="1.7109375" customWidth="1"/>
    <col min="12813" max="12813" width="1.85546875" customWidth="1"/>
    <col min="12826" max="12826" width="14" customWidth="1"/>
    <col min="12827" max="12827" width="16.28515625" customWidth="1"/>
    <col min="12832" max="12832" width="8.85546875" customWidth="1"/>
    <col min="12833" max="12833" width="12.7109375" customWidth="1"/>
    <col min="13057" max="13057" width="6.85546875" customWidth="1"/>
    <col min="13058" max="13058" width="25" customWidth="1"/>
    <col min="13059" max="13059" width="12.7109375" customWidth="1"/>
    <col min="13060" max="13060" width="5.7109375" customWidth="1"/>
    <col min="13061" max="13061" width="5.85546875" customWidth="1"/>
    <col min="13062" max="13062" width="1.7109375" customWidth="1"/>
    <col min="13069" max="13069" width="1.85546875" customWidth="1"/>
    <col min="13082" max="13082" width="14" customWidth="1"/>
    <col min="13083" max="13083" width="16.28515625" customWidth="1"/>
    <col min="13088" max="13088" width="8.85546875" customWidth="1"/>
    <col min="13089" max="13089" width="12.7109375" customWidth="1"/>
    <col min="13313" max="13313" width="6.85546875" customWidth="1"/>
    <col min="13314" max="13314" width="25" customWidth="1"/>
    <col min="13315" max="13315" width="12.7109375" customWidth="1"/>
    <col min="13316" max="13316" width="5.7109375" customWidth="1"/>
    <col min="13317" max="13317" width="5.85546875" customWidth="1"/>
    <col min="13318" max="13318" width="1.7109375" customWidth="1"/>
    <col min="13325" max="13325" width="1.85546875" customWidth="1"/>
    <col min="13338" max="13338" width="14" customWidth="1"/>
    <col min="13339" max="13339" width="16.28515625" customWidth="1"/>
    <col min="13344" max="13344" width="8.85546875" customWidth="1"/>
    <col min="13345" max="13345" width="12.7109375" customWidth="1"/>
    <col min="13569" max="13569" width="6.85546875" customWidth="1"/>
    <col min="13570" max="13570" width="25" customWidth="1"/>
    <col min="13571" max="13571" width="12.7109375" customWidth="1"/>
    <col min="13572" max="13572" width="5.7109375" customWidth="1"/>
    <col min="13573" max="13573" width="5.85546875" customWidth="1"/>
    <col min="13574" max="13574" width="1.7109375" customWidth="1"/>
    <col min="13581" max="13581" width="1.85546875" customWidth="1"/>
    <col min="13594" max="13594" width="14" customWidth="1"/>
    <col min="13595" max="13595" width="16.28515625" customWidth="1"/>
    <col min="13600" max="13600" width="8.85546875" customWidth="1"/>
    <col min="13601" max="13601" width="12.7109375" customWidth="1"/>
    <col min="13825" max="13825" width="6.85546875" customWidth="1"/>
    <col min="13826" max="13826" width="25" customWidth="1"/>
    <col min="13827" max="13827" width="12.7109375" customWidth="1"/>
    <col min="13828" max="13828" width="5.7109375" customWidth="1"/>
    <col min="13829" max="13829" width="5.85546875" customWidth="1"/>
    <col min="13830" max="13830" width="1.7109375" customWidth="1"/>
    <col min="13837" max="13837" width="1.85546875" customWidth="1"/>
    <col min="13850" max="13850" width="14" customWidth="1"/>
    <col min="13851" max="13851" width="16.28515625" customWidth="1"/>
    <col min="13856" max="13856" width="8.85546875" customWidth="1"/>
    <col min="13857" max="13857" width="12.7109375" customWidth="1"/>
    <col min="14081" max="14081" width="6.85546875" customWidth="1"/>
    <col min="14082" max="14082" width="25" customWidth="1"/>
    <col min="14083" max="14083" width="12.7109375" customWidth="1"/>
    <col min="14084" max="14084" width="5.7109375" customWidth="1"/>
    <col min="14085" max="14085" width="5.85546875" customWidth="1"/>
    <col min="14086" max="14086" width="1.7109375" customWidth="1"/>
    <col min="14093" max="14093" width="1.85546875" customWidth="1"/>
    <col min="14106" max="14106" width="14" customWidth="1"/>
    <col min="14107" max="14107" width="16.28515625" customWidth="1"/>
    <col min="14112" max="14112" width="8.85546875" customWidth="1"/>
    <col min="14113" max="14113" width="12.7109375" customWidth="1"/>
    <col min="14337" max="14337" width="6.85546875" customWidth="1"/>
    <col min="14338" max="14338" width="25" customWidth="1"/>
    <col min="14339" max="14339" width="12.7109375" customWidth="1"/>
    <col min="14340" max="14340" width="5.7109375" customWidth="1"/>
    <col min="14341" max="14341" width="5.85546875" customWidth="1"/>
    <col min="14342" max="14342" width="1.7109375" customWidth="1"/>
    <col min="14349" max="14349" width="1.85546875" customWidth="1"/>
    <col min="14362" max="14362" width="14" customWidth="1"/>
    <col min="14363" max="14363" width="16.28515625" customWidth="1"/>
    <col min="14368" max="14368" width="8.85546875" customWidth="1"/>
    <col min="14369" max="14369" width="12.7109375" customWidth="1"/>
    <col min="14593" max="14593" width="6.85546875" customWidth="1"/>
    <col min="14594" max="14594" width="25" customWidth="1"/>
    <col min="14595" max="14595" width="12.7109375" customWidth="1"/>
    <col min="14596" max="14596" width="5.7109375" customWidth="1"/>
    <col min="14597" max="14597" width="5.85546875" customWidth="1"/>
    <col min="14598" max="14598" width="1.7109375" customWidth="1"/>
    <col min="14605" max="14605" width="1.85546875" customWidth="1"/>
    <col min="14618" max="14618" width="14" customWidth="1"/>
    <col min="14619" max="14619" width="16.28515625" customWidth="1"/>
    <col min="14624" max="14624" width="8.85546875" customWidth="1"/>
    <col min="14625" max="14625" width="12.7109375" customWidth="1"/>
    <col min="14849" max="14849" width="6.85546875" customWidth="1"/>
    <col min="14850" max="14850" width="25" customWidth="1"/>
    <col min="14851" max="14851" width="12.7109375" customWidth="1"/>
    <col min="14852" max="14852" width="5.7109375" customWidth="1"/>
    <col min="14853" max="14853" width="5.85546875" customWidth="1"/>
    <col min="14854" max="14854" width="1.7109375" customWidth="1"/>
    <col min="14861" max="14861" width="1.85546875" customWidth="1"/>
    <col min="14874" max="14874" width="14" customWidth="1"/>
    <col min="14875" max="14875" width="16.28515625" customWidth="1"/>
    <col min="14880" max="14880" width="8.85546875" customWidth="1"/>
    <col min="14881" max="14881" width="12.7109375" customWidth="1"/>
    <col min="15105" max="15105" width="6.85546875" customWidth="1"/>
    <col min="15106" max="15106" width="25" customWidth="1"/>
    <col min="15107" max="15107" width="12.7109375" customWidth="1"/>
    <col min="15108" max="15108" width="5.7109375" customWidth="1"/>
    <col min="15109" max="15109" width="5.85546875" customWidth="1"/>
    <col min="15110" max="15110" width="1.7109375" customWidth="1"/>
    <col min="15117" max="15117" width="1.85546875" customWidth="1"/>
    <col min="15130" max="15130" width="14" customWidth="1"/>
    <col min="15131" max="15131" width="16.28515625" customWidth="1"/>
    <col min="15136" max="15136" width="8.85546875" customWidth="1"/>
    <col min="15137" max="15137" width="12.7109375" customWidth="1"/>
    <col min="15361" max="15361" width="6.85546875" customWidth="1"/>
    <col min="15362" max="15362" width="25" customWidth="1"/>
    <col min="15363" max="15363" width="12.7109375" customWidth="1"/>
    <col min="15364" max="15364" width="5.7109375" customWidth="1"/>
    <col min="15365" max="15365" width="5.85546875" customWidth="1"/>
    <col min="15366" max="15366" width="1.7109375" customWidth="1"/>
    <col min="15373" max="15373" width="1.85546875" customWidth="1"/>
    <col min="15386" max="15386" width="14" customWidth="1"/>
    <col min="15387" max="15387" width="16.28515625" customWidth="1"/>
    <col min="15392" max="15392" width="8.85546875" customWidth="1"/>
    <col min="15393" max="15393" width="12.7109375" customWidth="1"/>
    <col min="15617" max="15617" width="6.85546875" customWidth="1"/>
    <col min="15618" max="15618" width="25" customWidth="1"/>
    <col min="15619" max="15619" width="12.7109375" customWidth="1"/>
    <col min="15620" max="15620" width="5.7109375" customWidth="1"/>
    <col min="15621" max="15621" width="5.85546875" customWidth="1"/>
    <col min="15622" max="15622" width="1.7109375" customWidth="1"/>
    <col min="15629" max="15629" width="1.85546875" customWidth="1"/>
    <col min="15642" max="15642" width="14" customWidth="1"/>
    <col min="15643" max="15643" width="16.28515625" customWidth="1"/>
    <col min="15648" max="15648" width="8.85546875" customWidth="1"/>
    <col min="15649" max="15649" width="12.7109375" customWidth="1"/>
    <col min="15873" max="15873" width="6.85546875" customWidth="1"/>
    <col min="15874" max="15874" width="25" customWidth="1"/>
    <col min="15875" max="15875" width="12.7109375" customWidth="1"/>
    <col min="15876" max="15876" width="5.7109375" customWidth="1"/>
    <col min="15877" max="15877" width="5.85546875" customWidth="1"/>
    <col min="15878" max="15878" width="1.7109375" customWidth="1"/>
    <col min="15885" max="15885" width="1.85546875" customWidth="1"/>
    <col min="15898" max="15898" width="14" customWidth="1"/>
    <col min="15899" max="15899" width="16.28515625" customWidth="1"/>
    <col min="15904" max="15904" width="8.85546875" customWidth="1"/>
    <col min="15905" max="15905" width="12.7109375" customWidth="1"/>
    <col min="16129" max="16129" width="6.85546875" customWidth="1"/>
    <col min="16130" max="16130" width="25" customWidth="1"/>
    <col min="16131" max="16131" width="12.7109375" customWidth="1"/>
    <col min="16132" max="16132" width="5.7109375" customWidth="1"/>
    <col min="16133" max="16133" width="5.85546875" customWidth="1"/>
    <col min="16134" max="16134" width="1.7109375" customWidth="1"/>
    <col min="16141" max="16141" width="1.85546875" customWidth="1"/>
    <col min="16154" max="16154" width="14" customWidth="1"/>
    <col min="16155" max="16155" width="16.28515625" customWidth="1"/>
    <col min="16160" max="16160" width="8.85546875" customWidth="1"/>
    <col min="16161" max="16161" width="12.7109375" customWidth="1"/>
  </cols>
  <sheetData>
    <row r="1" spans="1:38" ht="6" customHeight="1"/>
    <row r="2" spans="1:38" ht="15.75" thickBot="1">
      <c r="A2" s="8" t="s">
        <v>160</v>
      </c>
      <c r="B2" s="171" t="s">
        <v>161</v>
      </c>
      <c r="G2" s="8" t="s">
        <v>162</v>
      </c>
      <c r="N2" s="8" t="s">
        <v>163</v>
      </c>
    </row>
    <row r="3" spans="1:38" ht="12.75" customHeight="1">
      <c r="B3" s="172" t="s">
        <v>39</v>
      </c>
      <c r="C3" s="173" t="str">
        <f>Field!D9</f>
        <v>Silt Loam</v>
      </c>
      <c r="D3" s="174"/>
      <c r="G3" s="323" t="s">
        <v>164</v>
      </c>
      <c r="H3" s="324"/>
      <c r="I3" s="324"/>
      <c r="J3" s="324"/>
      <c r="K3" s="324"/>
      <c r="L3" s="325"/>
      <c r="N3" s="323" t="str">
        <f>IF(C9="","",IF(C9&lt;E5,AL3,AL4))</f>
        <v>Sub-optimum infiltration: means there is a risk that the majority of water is running off the field and minimal water is contributing to crop growth. Symptoms of sub-optimal infiltration are ponding and localized flooding problems, mosquito outbreaks, soil erosion, fertilizer loss, and reduced yields. Recomendations: 1. reduce compaction by following the same wheel ruts; 2. maintain plant matter or use cover crops; 3. add organic matter which can be done by reducing tillage operations (which also reduces trips accross the field). Important: clay soils will crack as they dry. When water contacts with a cracked clay soil infiltation will be rapid, decreasing as the soil swells. The IR number calculated here does not account for this phenomenon.</v>
      </c>
      <c r="O3" s="335"/>
      <c r="P3" s="335"/>
      <c r="Q3" s="335"/>
      <c r="R3" s="335"/>
      <c r="S3" s="336"/>
      <c r="AA3" s="175" t="s">
        <v>165</v>
      </c>
      <c r="AB3" s="175" t="s">
        <v>166</v>
      </c>
      <c r="AC3" s="175"/>
      <c r="AD3">
        <v>1</v>
      </c>
      <c r="AE3" t="s">
        <v>16</v>
      </c>
      <c r="AF3" t="s">
        <v>167</v>
      </c>
      <c r="AG3">
        <v>3</v>
      </c>
      <c r="AH3" t="s">
        <v>168</v>
      </c>
      <c r="AI3">
        <v>3.5</v>
      </c>
      <c r="AK3" t="s">
        <v>160</v>
      </c>
      <c r="AL3" s="176" t="s">
        <v>314</v>
      </c>
    </row>
    <row r="4" spans="1:38">
      <c r="A4">
        <f>IF(C4="","",IF(C4=AB4,2,IF(C4=AC4,3,"")))</f>
        <v>2</v>
      </c>
      <c r="B4" s="127" t="s">
        <v>169</v>
      </c>
      <c r="C4" s="177" t="s">
        <v>170</v>
      </c>
      <c r="D4" s="83"/>
      <c r="G4" s="326"/>
      <c r="H4" s="327"/>
      <c r="I4" s="327"/>
      <c r="J4" s="327"/>
      <c r="K4" s="327"/>
      <c r="L4" s="328"/>
      <c r="N4" s="337"/>
      <c r="O4" s="338"/>
      <c r="P4" s="338"/>
      <c r="Q4" s="338"/>
      <c r="R4" s="338"/>
      <c r="S4" s="339"/>
      <c r="AA4" s="175"/>
      <c r="AB4" s="175" t="s">
        <v>170</v>
      </c>
      <c r="AC4" s="175" t="s">
        <v>171</v>
      </c>
      <c r="AD4">
        <v>2</v>
      </c>
      <c r="AE4">
        <v>1</v>
      </c>
      <c r="AF4" t="s">
        <v>172</v>
      </c>
      <c r="AG4">
        <v>4</v>
      </c>
      <c r="AH4" t="s">
        <v>173</v>
      </c>
      <c r="AI4">
        <v>7</v>
      </c>
      <c r="AL4" t="s">
        <v>174</v>
      </c>
    </row>
    <row r="5" spans="1:38">
      <c r="B5" s="127" t="s">
        <v>175</v>
      </c>
      <c r="C5" s="178">
        <f>VLOOKUP(C3,AA5:AC13,A4,FALSE)</f>
        <v>0.5</v>
      </c>
      <c r="D5" s="83" t="s">
        <v>189</v>
      </c>
      <c r="E5">
        <f>C5-C5*Qer/100</f>
        <v>0.45</v>
      </c>
      <c r="G5" s="326"/>
      <c r="H5" s="327"/>
      <c r="I5" s="327"/>
      <c r="J5" s="327"/>
      <c r="K5" s="327"/>
      <c r="L5" s="328"/>
      <c r="N5" s="337"/>
      <c r="O5" s="338"/>
      <c r="P5" s="338"/>
      <c r="Q5" s="338"/>
      <c r="R5" s="338"/>
      <c r="S5" s="339"/>
      <c r="AA5" s="179" t="s">
        <v>115</v>
      </c>
      <c r="AB5" s="180">
        <v>1.25</v>
      </c>
      <c r="AC5" s="180">
        <v>1</v>
      </c>
      <c r="AD5">
        <v>3</v>
      </c>
      <c r="AE5">
        <v>1.5</v>
      </c>
      <c r="AF5" t="s">
        <v>176</v>
      </c>
      <c r="AG5">
        <v>5</v>
      </c>
      <c r="AH5" t="s">
        <v>177</v>
      </c>
      <c r="AI5">
        <v>10.5</v>
      </c>
    </row>
    <row r="6" spans="1:38">
      <c r="B6" s="127"/>
      <c r="C6" s="178"/>
      <c r="D6" s="83"/>
      <c r="E6">
        <f>C5+Qer/100*C5</f>
        <v>0.55000000000000004</v>
      </c>
      <c r="G6" s="326"/>
      <c r="H6" s="327"/>
      <c r="I6" s="327"/>
      <c r="J6" s="327"/>
      <c r="K6" s="327"/>
      <c r="L6" s="328"/>
      <c r="N6" s="337"/>
      <c r="O6" s="338"/>
      <c r="P6" s="338"/>
      <c r="Q6" s="338"/>
      <c r="R6" s="338"/>
      <c r="S6" s="339"/>
      <c r="AA6" s="179" t="s">
        <v>117</v>
      </c>
      <c r="AB6" s="180">
        <v>0.94</v>
      </c>
      <c r="AC6" s="180">
        <v>0.75</v>
      </c>
      <c r="AD6">
        <v>4</v>
      </c>
      <c r="AE6">
        <v>2</v>
      </c>
      <c r="AF6" t="s">
        <v>178</v>
      </c>
      <c r="AG6">
        <v>6</v>
      </c>
      <c r="AH6" t="s">
        <v>179</v>
      </c>
      <c r="AI6">
        <v>14</v>
      </c>
      <c r="AK6" t="s">
        <v>180</v>
      </c>
      <c r="AL6" t="s">
        <v>181</v>
      </c>
    </row>
    <row r="7" spans="1:38">
      <c r="B7" s="127" t="s">
        <v>182</v>
      </c>
      <c r="C7" s="181">
        <f>Snapshot!F24*60</f>
        <v>65.029183172040305</v>
      </c>
      <c r="D7" s="83" t="s">
        <v>183</v>
      </c>
      <c r="G7" s="329"/>
      <c r="H7" s="330"/>
      <c r="I7" s="330"/>
      <c r="J7" s="330"/>
      <c r="K7" s="330"/>
      <c r="L7" s="331"/>
      <c r="N7" s="337"/>
      <c r="O7" s="338"/>
      <c r="P7" s="338"/>
      <c r="Q7" s="338"/>
      <c r="R7" s="338"/>
      <c r="S7" s="339"/>
      <c r="AA7" s="179" t="s">
        <v>118</v>
      </c>
      <c r="AB7" s="180">
        <v>0.75</v>
      </c>
      <c r="AC7" s="180">
        <v>0.6</v>
      </c>
      <c r="AD7">
        <v>5</v>
      </c>
      <c r="AE7">
        <v>2.5</v>
      </c>
      <c r="AF7" t="s">
        <v>184</v>
      </c>
      <c r="AG7">
        <v>7</v>
      </c>
      <c r="AH7" t="s">
        <v>185</v>
      </c>
      <c r="AI7">
        <v>21</v>
      </c>
      <c r="AL7" t="s">
        <v>186</v>
      </c>
    </row>
    <row r="8" spans="1:38">
      <c r="B8" s="127" t="s">
        <v>187</v>
      </c>
      <c r="C8" s="182">
        <f>Field!D6</f>
        <v>15</v>
      </c>
      <c r="D8" s="83" t="s">
        <v>24</v>
      </c>
      <c r="G8" s="329"/>
      <c r="H8" s="330"/>
      <c r="I8" s="330"/>
      <c r="J8" s="330"/>
      <c r="K8" s="330"/>
      <c r="L8" s="331"/>
      <c r="N8" s="337"/>
      <c r="O8" s="338"/>
      <c r="P8" s="338"/>
      <c r="Q8" s="338"/>
      <c r="R8" s="338"/>
      <c r="S8" s="339"/>
      <c r="AA8" s="179" t="s">
        <v>119</v>
      </c>
      <c r="AB8" s="180">
        <v>0.63</v>
      </c>
      <c r="AC8" s="180">
        <v>0.5</v>
      </c>
      <c r="AD8">
        <v>6</v>
      </c>
      <c r="AE8">
        <v>3</v>
      </c>
      <c r="AG8">
        <v>8</v>
      </c>
    </row>
    <row r="9" spans="1:38" ht="15.75" thickBot="1">
      <c r="B9" s="128" t="s">
        <v>188</v>
      </c>
      <c r="C9" s="183">
        <f>(Field!C28/Field!D6)*C7/Conversions!B6</f>
        <v>9.5792159737419381E-3</v>
      </c>
      <c r="D9" s="48" t="s">
        <v>189</v>
      </c>
      <c r="G9" s="329"/>
      <c r="H9" s="330"/>
      <c r="I9" s="330"/>
      <c r="J9" s="330"/>
      <c r="K9" s="330"/>
      <c r="L9" s="331"/>
      <c r="N9" s="337"/>
      <c r="O9" s="338"/>
      <c r="P9" s="338"/>
      <c r="Q9" s="338"/>
      <c r="R9" s="338"/>
      <c r="S9" s="339"/>
      <c r="AA9" s="179" t="s">
        <v>121</v>
      </c>
      <c r="AB9" s="184">
        <v>0.32</v>
      </c>
      <c r="AC9" s="184">
        <v>0.26</v>
      </c>
      <c r="AD9">
        <v>7</v>
      </c>
      <c r="AE9">
        <v>3.5</v>
      </c>
      <c r="AG9" s="25" t="s">
        <v>190</v>
      </c>
      <c r="AL9" t="s">
        <v>191</v>
      </c>
    </row>
    <row r="10" spans="1:38">
      <c r="C10" s="25"/>
      <c r="G10" s="332"/>
      <c r="H10" s="333"/>
      <c r="I10" s="333"/>
      <c r="J10" s="333"/>
      <c r="K10" s="333"/>
      <c r="L10" s="334"/>
      <c r="N10" s="340"/>
      <c r="O10" s="341"/>
      <c r="P10" s="341"/>
      <c r="Q10" s="341"/>
      <c r="R10" s="341"/>
      <c r="S10" s="342"/>
      <c r="AA10" s="179" t="s">
        <v>123</v>
      </c>
      <c r="AB10" s="180">
        <v>0.54</v>
      </c>
      <c r="AC10" s="180">
        <v>0.43</v>
      </c>
      <c r="AD10">
        <v>8</v>
      </c>
      <c r="AE10">
        <v>4</v>
      </c>
      <c r="AL10" t="s">
        <v>192</v>
      </c>
    </row>
    <row r="11" spans="1:38" ht="15.75" thickBot="1">
      <c r="C11" s="25"/>
      <c r="AA11" s="179" t="s">
        <v>40</v>
      </c>
      <c r="AB11" s="180">
        <v>0.5</v>
      </c>
      <c r="AC11" s="180">
        <v>0.4</v>
      </c>
      <c r="AD11">
        <v>9</v>
      </c>
      <c r="AE11" t="s">
        <v>193</v>
      </c>
      <c r="AG11" t="s">
        <v>194</v>
      </c>
      <c r="AL11" t="s">
        <v>195</v>
      </c>
    </row>
    <row r="12" spans="1:38" ht="12.75" customHeight="1">
      <c r="A12" s="8" t="s">
        <v>180</v>
      </c>
      <c r="B12" s="172" t="s">
        <v>33</v>
      </c>
      <c r="C12" s="173" t="str">
        <f>VLOOKUP(Field!D8,Z23:AA33,2,FALSE)</f>
        <v>grass</v>
      </c>
      <c r="D12" s="174"/>
      <c r="G12" s="323" t="s">
        <v>196</v>
      </c>
      <c r="H12" s="335"/>
      <c r="I12" s="335"/>
      <c r="J12" s="335"/>
      <c r="K12" s="335"/>
      <c r="L12" s="336"/>
      <c r="N12" s="323" t="str">
        <f>IF(C14="","",IF(C14&gt;C13,AL6,AL7))</f>
        <v>No Hardpan or deep hardpan layer: the available root zone is sufficient to support your planted crop.</v>
      </c>
      <c r="O12" s="335"/>
      <c r="P12" s="335"/>
      <c r="Q12" s="335"/>
      <c r="R12" s="335"/>
      <c r="S12" s="336"/>
      <c r="AA12" s="179" t="s">
        <v>125</v>
      </c>
      <c r="AB12" s="180">
        <v>0.25</v>
      </c>
      <c r="AC12" s="180">
        <v>0.2</v>
      </c>
      <c r="AD12">
        <v>10</v>
      </c>
      <c r="AE12" t="s">
        <v>197</v>
      </c>
      <c r="AG12" t="s">
        <v>198</v>
      </c>
      <c r="AL12" t="s">
        <v>199</v>
      </c>
    </row>
    <row r="13" spans="1:38" ht="12.75" customHeight="1">
      <c r="B13" s="127" t="s">
        <v>200</v>
      </c>
      <c r="C13" s="177" t="s">
        <v>193</v>
      </c>
      <c r="D13" s="83" t="s">
        <v>37</v>
      </c>
      <c r="G13" s="337"/>
      <c r="H13" s="338"/>
      <c r="I13" s="338"/>
      <c r="J13" s="338"/>
      <c r="K13" s="338"/>
      <c r="L13" s="339"/>
      <c r="N13" s="337"/>
      <c r="O13" s="338"/>
      <c r="P13" s="338"/>
      <c r="Q13" s="338"/>
      <c r="R13" s="338"/>
      <c r="S13" s="339"/>
      <c r="AA13" s="179" t="s">
        <v>126</v>
      </c>
      <c r="AB13" s="180">
        <v>0.13</v>
      </c>
      <c r="AC13" s="180">
        <v>0.1</v>
      </c>
      <c r="AD13">
        <v>11</v>
      </c>
      <c r="AG13" t="s">
        <v>201</v>
      </c>
    </row>
    <row r="14" spans="1:38">
      <c r="B14" s="127" t="s">
        <v>202</v>
      </c>
      <c r="C14" s="178">
        <f>Field!E8/12</f>
        <v>2</v>
      </c>
      <c r="D14" s="83" t="s">
        <v>37</v>
      </c>
      <c r="G14" s="337"/>
      <c r="H14" s="338"/>
      <c r="I14" s="338"/>
      <c r="J14" s="338"/>
      <c r="K14" s="338"/>
      <c r="L14" s="339"/>
      <c r="N14" s="337"/>
      <c r="O14" s="338"/>
      <c r="P14" s="338"/>
      <c r="Q14" s="338"/>
      <c r="R14" s="338"/>
      <c r="S14" s="339"/>
      <c r="AA14" s="185" t="s">
        <v>203</v>
      </c>
      <c r="AD14">
        <v>12</v>
      </c>
      <c r="AL14" t="s">
        <v>204</v>
      </c>
    </row>
    <row r="15" spans="1:38">
      <c r="B15" s="127"/>
      <c r="C15" s="178"/>
      <c r="D15" s="83"/>
      <c r="G15" s="343"/>
      <c r="H15" s="344"/>
      <c r="I15" s="344"/>
      <c r="J15" s="344"/>
      <c r="K15" s="344"/>
      <c r="L15" s="345"/>
      <c r="N15" s="340"/>
      <c r="O15" s="341"/>
      <c r="P15" s="341"/>
      <c r="Q15" s="341"/>
      <c r="R15" s="341"/>
      <c r="S15" s="342"/>
      <c r="AD15">
        <v>13</v>
      </c>
      <c r="AG15" t="s">
        <v>205</v>
      </c>
      <c r="AH15" t="s">
        <v>206</v>
      </c>
      <c r="AL15" t="s">
        <v>207</v>
      </c>
    </row>
    <row r="16" spans="1:38">
      <c r="B16" s="127" t="s">
        <v>208</v>
      </c>
      <c r="C16" s="186" t="s">
        <v>172</v>
      </c>
      <c r="D16" s="83"/>
      <c r="G16" s="323" t="s">
        <v>209</v>
      </c>
      <c r="H16" s="335"/>
      <c r="I16" s="335"/>
      <c r="J16" s="335"/>
      <c r="K16" s="335"/>
      <c r="L16" s="336"/>
      <c r="N16" s="323" t="str">
        <f>IF(C16="","",IF(C16&lt;&gt;AF3,IF(C16&lt;&gt;AF4,AL9,AL10),AL10))</f>
        <v>Even grade field: is a good foundation for effective irrigation. It's important that this is matched with a consistent, well marked furrow pattern.</v>
      </c>
      <c r="O16" s="335"/>
      <c r="P16" s="335"/>
      <c r="Q16" s="335"/>
      <c r="R16" s="335"/>
      <c r="S16" s="336"/>
      <c r="AD16">
        <v>14</v>
      </c>
      <c r="AG16" t="s">
        <v>210</v>
      </c>
      <c r="AH16" t="s">
        <v>211</v>
      </c>
      <c r="AL16" t="s">
        <v>212</v>
      </c>
    </row>
    <row r="17" spans="1:42">
      <c r="B17" s="127" t="s">
        <v>213</v>
      </c>
      <c r="C17" s="177">
        <v>4</v>
      </c>
      <c r="D17" s="83"/>
      <c r="G17" s="337"/>
      <c r="H17" s="338"/>
      <c r="I17" s="338"/>
      <c r="J17" s="338"/>
      <c r="K17" s="338"/>
      <c r="L17" s="339"/>
      <c r="N17" s="340"/>
      <c r="O17" s="341"/>
      <c r="P17" s="341"/>
      <c r="Q17" s="341"/>
      <c r="R17" s="341"/>
      <c r="S17" s="342"/>
      <c r="AD17">
        <v>15</v>
      </c>
      <c r="AL17" t="s">
        <v>214</v>
      </c>
    </row>
    <row r="18" spans="1:42" ht="15.75" thickBot="1">
      <c r="B18" s="128" t="s">
        <v>215</v>
      </c>
      <c r="C18" s="187" t="s">
        <v>194</v>
      </c>
      <c r="D18" s="48"/>
      <c r="G18" s="337"/>
      <c r="H18" s="338"/>
      <c r="I18" s="338"/>
      <c r="J18" s="338"/>
      <c r="K18" s="338"/>
      <c r="L18" s="339"/>
      <c r="N18" s="323" t="str">
        <f>IF(EVEN(C17)&lt;&gt;C17,AL11,IF(C18&lt;&gt;AG11,AL11,AL12))</f>
        <v>Well designed and maintained furrows: compliments an evenly graded field as the basis for maximizing the returns on your irrigation management.</v>
      </c>
      <c r="O18" s="335"/>
      <c r="P18" s="335"/>
      <c r="Q18" s="335"/>
      <c r="R18" s="335"/>
      <c r="S18" s="336"/>
      <c r="AD18">
        <v>16</v>
      </c>
      <c r="AH18" t="s">
        <v>216</v>
      </c>
      <c r="AL18" t="s">
        <v>217</v>
      </c>
    </row>
    <row r="19" spans="1:42">
      <c r="C19" s="25"/>
      <c r="G19" s="340"/>
      <c r="H19" s="341"/>
      <c r="I19" s="341"/>
      <c r="J19" s="341"/>
      <c r="K19" s="341"/>
      <c r="L19" s="342"/>
      <c r="N19" s="340"/>
      <c r="O19" s="341"/>
      <c r="P19" s="341"/>
      <c r="Q19" s="341"/>
      <c r="R19" s="341"/>
      <c r="S19" s="342"/>
      <c r="AD19">
        <v>17</v>
      </c>
      <c r="AH19" t="s">
        <v>218</v>
      </c>
    </row>
    <row r="20" spans="1:42" ht="15.75" thickBot="1">
      <c r="C20" s="25"/>
      <c r="AD20">
        <v>18</v>
      </c>
      <c r="AL20" t="s">
        <v>219</v>
      </c>
    </row>
    <row r="21" spans="1:42">
      <c r="A21" s="8" t="s">
        <v>220</v>
      </c>
      <c r="B21" s="172" t="s">
        <v>221</v>
      </c>
      <c r="C21" s="188">
        <f>Field!E34</f>
        <v>0.33970762069186211</v>
      </c>
      <c r="D21" s="174"/>
      <c r="G21" s="323" t="s">
        <v>222</v>
      </c>
      <c r="H21" s="335"/>
      <c r="I21" s="335"/>
      <c r="J21" s="335"/>
      <c r="K21" s="335"/>
      <c r="L21" s="336"/>
      <c r="N21" s="323" t="str">
        <f>IF(C21&lt;0.5,IF(C23&gt;C22/2,AL14,IF(C24=AG16,AL15,IF(C25=AG16,AL16,AL17))),AL18)</f>
        <v>Poor DU (&lt;50%) could be a result of too much flow. Recommendation: try cutting back water after advancing.</v>
      </c>
      <c r="O21" s="335"/>
      <c r="P21" s="335"/>
      <c r="Q21" s="335"/>
      <c r="R21" s="335"/>
      <c r="S21" s="336"/>
      <c r="AH21" t="s">
        <v>223</v>
      </c>
      <c r="AL21" t="s">
        <v>224</v>
      </c>
    </row>
    <row r="22" spans="1:42" ht="15.75" thickBot="1">
      <c r="B22" s="127" t="s">
        <v>225</v>
      </c>
      <c r="C22" s="178">
        <f>Field!C23</f>
        <v>24</v>
      </c>
      <c r="D22" s="83"/>
      <c r="G22" s="337"/>
      <c r="H22" s="338"/>
      <c r="I22" s="338"/>
      <c r="J22" s="338"/>
      <c r="K22" s="338"/>
      <c r="L22" s="339"/>
      <c r="N22" s="340"/>
      <c r="O22" s="341"/>
      <c r="P22" s="341"/>
      <c r="Q22" s="341"/>
      <c r="R22" s="341"/>
      <c r="S22" s="342"/>
      <c r="AA22" s="189" t="s">
        <v>226</v>
      </c>
      <c r="AB22" t="s">
        <v>227</v>
      </c>
      <c r="AC22" t="s">
        <v>228</v>
      </c>
      <c r="AD22" t="s">
        <v>229</v>
      </c>
      <c r="AE22" t="s">
        <v>230</v>
      </c>
      <c r="AF22" t="s">
        <v>231</v>
      </c>
      <c r="AH22" t="s">
        <v>232</v>
      </c>
      <c r="AL22" t="s">
        <v>233</v>
      </c>
    </row>
    <row r="23" spans="1:42">
      <c r="B23" s="127" t="s">
        <v>234</v>
      </c>
      <c r="C23" s="177">
        <f>Field!C24</f>
        <v>8</v>
      </c>
      <c r="D23" s="83" t="str">
        <f>IF(C23&gt;C22/2,1,IF(C23&lt;C22/4,1,""))</f>
        <v/>
      </c>
      <c r="G23" s="337"/>
      <c r="H23" s="338"/>
      <c r="I23" s="338"/>
      <c r="J23" s="338"/>
      <c r="K23" s="338"/>
      <c r="L23" s="339"/>
      <c r="Z23" s="190" t="s">
        <v>34</v>
      </c>
      <c r="AA23" s="191" t="s">
        <v>235</v>
      </c>
      <c r="AB23" s="191">
        <v>232</v>
      </c>
      <c r="AC23" s="192">
        <f>AB23/7</f>
        <v>33.142857142857146</v>
      </c>
      <c r="AD23" s="191">
        <v>3.99</v>
      </c>
      <c r="AE23" s="191">
        <v>31.44</v>
      </c>
      <c r="AF23" s="193">
        <f>AE23-AD23</f>
        <v>27.450000000000003</v>
      </c>
      <c r="AL23" t="s">
        <v>236</v>
      </c>
    </row>
    <row r="24" spans="1:42">
      <c r="B24" s="127" t="s">
        <v>237</v>
      </c>
      <c r="C24" s="177" t="s">
        <v>210</v>
      </c>
      <c r="D24" s="83">
        <f>IF(C24=AG16,1,"")</f>
        <v>1</v>
      </c>
      <c r="G24" s="337"/>
      <c r="H24" s="338"/>
      <c r="I24" s="338"/>
      <c r="J24" s="338"/>
      <c r="K24" s="338"/>
      <c r="L24" s="339"/>
      <c r="N24" s="323" t="str">
        <f>"Additional DU recommendations: "&amp;(IF(C21&lt;0.5,IF(SUM(D23:D25)=2,IF(D25=1,AO30,AO29),IF(SUM(D23:D25)=3,AO29&amp;"; and: "&amp;AO30,"")),""))&amp;"."</f>
        <v>Additional DU recommendations: explore irrigating wheel rows with a separate regime to non-wheel rows.</v>
      </c>
      <c r="O24" s="346"/>
      <c r="P24" s="346"/>
      <c r="Q24" s="346"/>
      <c r="R24" s="346"/>
      <c r="S24" s="347"/>
      <c r="Z24" s="194" t="s">
        <v>83</v>
      </c>
      <c r="AA24" s="180" t="s">
        <v>238</v>
      </c>
      <c r="AB24" s="180">
        <v>217</v>
      </c>
      <c r="AC24" s="195">
        <f t="shared" ref="AC24:AC33" si="0">AB24/7</f>
        <v>31</v>
      </c>
      <c r="AD24" s="180">
        <v>3.98</v>
      </c>
      <c r="AE24" s="180">
        <v>36.22</v>
      </c>
      <c r="AF24" s="196">
        <f t="shared" ref="AF24:AF33" si="1">AE24-AD24</f>
        <v>32.24</v>
      </c>
      <c r="AL24" t="s">
        <v>239</v>
      </c>
      <c r="AP24" t="s">
        <v>240</v>
      </c>
    </row>
    <row r="25" spans="1:42" ht="15.75" thickBot="1">
      <c r="B25" s="128" t="s">
        <v>241</v>
      </c>
      <c r="C25" s="187" t="s">
        <v>210</v>
      </c>
      <c r="D25" s="48">
        <f>IF(C25=AG16,1,"")</f>
        <v>1</v>
      </c>
      <c r="G25" s="337"/>
      <c r="H25" s="338"/>
      <c r="I25" s="338"/>
      <c r="J25" s="338"/>
      <c r="K25" s="338"/>
      <c r="L25" s="339"/>
      <c r="N25" s="348"/>
      <c r="O25" s="349"/>
      <c r="P25" s="349"/>
      <c r="Q25" s="349"/>
      <c r="R25" s="349"/>
      <c r="S25" s="350"/>
      <c r="Z25" s="194" t="str">
        <f>IF(AH$25=AH15,"Corn","")</f>
        <v>Corn</v>
      </c>
      <c r="AA25" s="180" t="s">
        <v>242</v>
      </c>
      <c r="AB25" s="180">
        <v>158</v>
      </c>
      <c r="AC25" s="195">
        <f t="shared" si="0"/>
        <v>22.571428571428573</v>
      </c>
      <c r="AD25" s="180">
        <v>2.87</v>
      </c>
      <c r="AE25" s="180">
        <v>25.12</v>
      </c>
      <c r="AF25" s="196">
        <f t="shared" si="1"/>
        <v>22.25</v>
      </c>
      <c r="AG25" s="25" t="s">
        <v>243</v>
      </c>
      <c r="AH25" s="42" t="s">
        <v>206</v>
      </c>
      <c r="AI25" s="42"/>
      <c r="AP25" t="s">
        <v>244</v>
      </c>
    </row>
    <row r="26" spans="1:42">
      <c r="C26" s="197"/>
      <c r="G26" s="340"/>
      <c r="H26" s="341"/>
      <c r="I26" s="341"/>
      <c r="J26" s="341"/>
      <c r="K26" s="341"/>
      <c r="L26" s="342"/>
      <c r="N26" s="343"/>
      <c r="O26" s="344"/>
      <c r="P26" s="344"/>
      <c r="Q26" s="344"/>
      <c r="R26" s="344"/>
      <c r="S26" s="345"/>
      <c r="Z26" s="194" t="str">
        <f>IF(AH$25=AH16,"Corn","")</f>
        <v/>
      </c>
      <c r="AA26" s="180" t="s">
        <v>245</v>
      </c>
      <c r="AB26" s="180">
        <v>133</v>
      </c>
      <c r="AC26" s="195">
        <f t="shared" si="0"/>
        <v>19</v>
      </c>
      <c r="AD26" s="180">
        <v>2.42</v>
      </c>
      <c r="AE26" s="198">
        <v>22.67</v>
      </c>
      <c r="AF26" s="196">
        <f t="shared" si="1"/>
        <v>20.25</v>
      </c>
      <c r="AG26" s="25"/>
      <c r="AL26" t="s">
        <v>246</v>
      </c>
    </row>
    <row r="27" spans="1:42" ht="13.5" customHeight="1" thickBot="1">
      <c r="Z27" s="199" t="str">
        <f>IF(AH$27=AH18,"Small Grains","")</f>
        <v>Small Grains</v>
      </c>
      <c r="AA27" s="180" t="s">
        <v>247</v>
      </c>
      <c r="AB27" s="180">
        <v>112</v>
      </c>
      <c r="AC27" s="195">
        <f t="shared" si="0"/>
        <v>16</v>
      </c>
      <c r="AD27" s="180">
        <v>2.56</v>
      </c>
      <c r="AE27" s="180">
        <v>18.95</v>
      </c>
      <c r="AF27" s="196">
        <f t="shared" si="1"/>
        <v>16.39</v>
      </c>
      <c r="AG27" s="25" t="s">
        <v>248</v>
      </c>
      <c r="AH27" s="42" t="s">
        <v>216</v>
      </c>
      <c r="AI27" s="42"/>
    </row>
    <row r="28" spans="1:42">
      <c r="A28" s="8" t="s">
        <v>249</v>
      </c>
      <c r="B28" s="172" t="s">
        <v>250</v>
      </c>
      <c r="C28" s="200" t="s">
        <v>185</v>
      </c>
      <c r="D28" s="174"/>
      <c r="G28" s="351" t="s">
        <v>251</v>
      </c>
      <c r="H28" s="352"/>
      <c r="I28" s="352"/>
      <c r="J28" s="352"/>
      <c r="K28" s="352"/>
      <c r="L28" s="353"/>
      <c r="N28" s="351" t="str">
        <f>IF(C31&lt;C32,AL23,IF(C33&lt;0.25,AL20,IF(C33&lt;0.35,AL21,AL22)))&amp;IF(C35=AG15," "&amp;AL24&amp;" "&amp;IF(C33&lt;0.35,AP25,AP24),"")</f>
        <v>Seasonal Irrigation Efficiency is good. Continue to monitor soil moisture and local ET values to enhance your irrigation management.</v>
      </c>
      <c r="O28" s="360"/>
      <c r="P28" s="360"/>
      <c r="Q28" s="360"/>
      <c r="R28" s="360"/>
      <c r="S28" s="361"/>
      <c r="Z28" s="194" t="str">
        <f>IF(AH$27=AH19,"Small Grains","")</f>
        <v/>
      </c>
      <c r="AA28" s="180" t="s">
        <v>252</v>
      </c>
      <c r="AB28" s="180">
        <v>122</v>
      </c>
      <c r="AC28" s="195">
        <f t="shared" si="0"/>
        <v>17.428571428571427</v>
      </c>
      <c r="AD28" s="180">
        <v>1.84</v>
      </c>
      <c r="AE28" s="180">
        <v>19.61</v>
      </c>
      <c r="AF28" s="196">
        <f t="shared" si="1"/>
        <v>17.77</v>
      </c>
      <c r="AG28" s="25"/>
    </row>
    <row r="29" spans="1:42">
      <c r="B29" s="127" t="s">
        <v>253</v>
      </c>
      <c r="C29" s="116">
        <f>VLOOKUP(C12,AA23:AB33,2,FALSE)</f>
        <v>232</v>
      </c>
      <c r="D29" s="83" t="s">
        <v>254</v>
      </c>
      <c r="G29" s="354"/>
      <c r="H29" s="355"/>
      <c r="I29" s="355"/>
      <c r="J29" s="355"/>
      <c r="K29" s="355"/>
      <c r="L29" s="356"/>
      <c r="N29" s="362"/>
      <c r="O29" s="363"/>
      <c r="P29" s="363"/>
      <c r="Q29" s="363"/>
      <c r="R29" s="363"/>
      <c r="S29" s="364"/>
      <c r="Z29" s="194" t="s">
        <v>94</v>
      </c>
      <c r="AA29" s="180" t="s">
        <v>255</v>
      </c>
      <c r="AB29" s="180">
        <v>107</v>
      </c>
      <c r="AC29" s="195">
        <f t="shared" si="0"/>
        <v>15.285714285714286</v>
      </c>
      <c r="AD29" s="180">
        <v>2.0699999999999998</v>
      </c>
      <c r="AE29" s="198">
        <v>19.93</v>
      </c>
      <c r="AF29" s="196">
        <f t="shared" si="1"/>
        <v>17.86</v>
      </c>
      <c r="AG29" s="25"/>
      <c r="AL29" t="s">
        <v>256</v>
      </c>
      <c r="AO29" t="s">
        <v>257</v>
      </c>
    </row>
    <row r="30" spans="1:42">
      <c r="B30" s="127" t="s">
        <v>258</v>
      </c>
      <c r="C30" s="116">
        <f>TRUNC(C29/VLOOKUP(C28,AH3:AI7,2,FALSE))</f>
        <v>11</v>
      </c>
      <c r="D30" s="83" t="s">
        <v>259</v>
      </c>
      <c r="G30" s="354"/>
      <c r="H30" s="355"/>
      <c r="I30" s="355"/>
      <c r="J30" s="355"/>
      <c r="K30" s="355"/>
      <c r="L30" s="356"/>
      <c r="N30" s="362"/>
      <c r="O30" s="363"/>
      <c r="P30" s="363"/>
      <c r="Q30" s="363"/>
      <c r="R30" s="363"/>
      <c r="S30" s="364"/>
      <c r="Z30" s="194" t="str">
        <f>IF(AH$30=AH21,"Orchard","")</f>
        <v>Orchard</v>
      </c>
      <c r="AA30" s="180" t="s">
        <v>260</v>
      </c>
      <c r="AB30" s="180">
        <v>192</v>
      </c>
      <c r="AC30" s="195">
        <f t="shared" si="0"/>
        <v>27.428571428571427</v>
      </c>
      <c r="AD30" s="180">
        <v>3.62</v>
      </c>
      <c r="AE30" s="180">
        <v>35</v>
      </c>
      <c r="AF30" s="196">
        <f t="shared" si="1"/>
        <v>31.38</v>
      </c>
      <c r="AG30" s="25" t="s">
        <v>261</v>
      </c>
      <c r="AH30" s="42" t="s">
        <v>223</v>
      </c>
      <c r="AI30" s="42"/>
      <c r="AO30" t="s">
        <v>262</v>
      </c>
    </row>
    <row r="31" spans="1:42">
      <c r="B31" s="127" t="s">
        <v>263</v>
      </c>
      <c r="C31" s="201">
        <f>C29/VLOOKUP(C28,AH3:AI7,2,FALSE)*Field!C32</f>
        <v>55.018249479519547</v>
      </c>
      <c r="D31" s="83" t="s">
        <v>264</v>
      </c>
      <c r="G31" s="354"/>
      <c r="H31" s="355"/>
      <c r="I31" s="355"/>
      <c r="J31" s="355"/>
      <c r="K31" s="355"/>
      <c r="L31" s="356"/>
      <c r="N31" s="362"/>
      <c r="O31" s="363"/>
      <c r="P31" s="363"/>
      <c r="Q31" s="363"/>
      <c r="R31" s="363"/>
      <c r="S31" s="364"/>
      <c r="Z31" s="194" t="str">
        <f>IF(AH$30=AH22,"Orchard","")</f>
        <v/>
      </c>
      <c r="AA31" s="180" t="s">
        <v>265</v>
      </c>
      <c r="AB31" s="180">
        <v>172</v>
      </c>
      <c r="AC31" s="195">
        <f t="shared" si="0"/>
        <v>24.571428571428573</v>
      </c>
      <c r="AD31" s="180">
        <v>3.01</v>
      </c>
      <c r="AE31" s="180">
        <v>25.71</v>
      </c>
      <c r="AF31" s="196">
        <f t="shared" si="1"/>
        <v>22.700000000000003</v>
      </c>
    </row>
    <row r="32" spans="1:42">
      <c r="B32" s="127" t="s">
        <v>266</v>
      </c>
      <c r="C32" s="116">
        <f>VLOOKUP(C12,AA23:AF33,6,FALSE)</f>
        <v>27.450000000000003</v>
      </c>
      <c r="D32" s="83" t="s">
        <v>264</v>
      </c>
      <c r="G32" s="354"/>
      <c r="H32" s="355"/>
      <c r="I32" s="355"/>
      <c r="J32" s="355"/>
      <c r="K32" s="355"/>
      <c r="L32" s="356"/>
      <c r="N32" s="362"/>
      <c r="O32" s="363"/>
      <c r="P32" s="363"/>
      <c r="Q32" s="363"/>
      <c r="R32" s="363"/>
      <c r="S32" s="364"/>
      <c r="Z32" s="202"/>
      <c r="AA32" s="180" t="s">
        <v>267</v>
      </c>
      <c r="AB32" s="180">
        <v>139</v>
      </c>
      <c r="AC32" s="195">
        <f t="shared" si="0"/>
        <v>19.857142857142858</v>
      </c>
      <c r="AD32" s="180">
        <v>2.13</v>
      </c>
      <c r="AE32" s="180">
        <v>18.059999999999999</v>
      </c>
      <c r="AF32" s="196">
        <f t="shared" si="1"/>
        <v>15.93</v>
      </c>
    </row>
    <row r="33" spans="2:32" ht="15.75" thickBot="1">
      <c r="B33" s="127" t="s">
        <v>268</v>
      </c>
      <c r="C33" s="203">
        <f>IF(C32&gt;C31,"ET&gt;Irrig!",C32/C31)</f>
        <v>0.49892536130612847</v>
      </c>
      <c r="D33" s="83"/>
      <c r="E33">
        <f>'[1]Field Info'!C34-(Qer/100*'[1]Field Info'!C34)</f>
        <v>0.9</v>
      </c>
      <c r="G33" s="354"/>
      <c r="H33" s="355"/>
      <c r="I33" s="355"/>
      <c r="J33" s="355"/>
      <c r="K33" s="355"/>
      <c r="L33" s="356"/>
      <c r="N33" s="365"/>
      <c r="O33" s="366"/>
      <c r="P33" s="366"/>
      <c r="Q33" s="366"/>
      <c r="R33" s="366"/>
      <c r="S33" s="367"/>
      <c r="Z33" s="204" t="s">
        <v>104</v>
      </c>
      <c r="AA33" s="205" t="s">
        <v>104</v>
      </c>
      <c r="AB33" s="205">
        <v>153</v>
      </c>
      <c r="AC33" s="206">
        <f t="shared" si="0"/>
        <v>21.857142857142858</v>
      </c>
      <c r="AD33" s="205">
        <v>2.8</v>
      </c>
      <c r="AE33" s="205">
        <v>10</v>
      </c>
      <c r="AF33" s="207">
        <f t="shared" si="1"/>
        <v>7.2</v>
      </c>
    </row>
    <row r="34" spans="2:32">
      <c r="B34" s="127"/>
      <c r="C34" s="116"/>
      <c r="D34" s="83"/>
      <c r="E34">
        <f>'[1]Field Info'!C34+(Qer/100*'[1]Field Info'!C34)</f>
        <v>1.1000000000000001</v>
      </c>
      <c r="G34" s="354"/>
      <c r="H34" s="355"/>
      <c r="I34" s="355"/>
      <c r="J34" s="355"/>
      <c r="K34" s="355"/>
      <c r="L34" s="356"/>
    </row>
    <row r="35" spans="2:32" ht="15.75" thickBot="1">
      <c r="B35" s="128" t="str">
        <f>IF(C33&lt;E34,IF(C33&gt;E33,"",AL29),AL29)</f>
        <v>Evidence of crop stress?</v>
      </c>
      <c r="C35" s="187" t="s">
        <v>210</v>
      </c>
      <c r="D35" s="48"/>
      <c r="G35" s="354"/>
      <c r="H35" s="355"/>
      <c r="I35" s="355"/>
      <c r="J35" s="355"/>
      <c r="K35" s="355"/>
      <c r="L35" s="356"/>
      <c r="N35" s="351" t="str">
        <f>IF(C33&lt;0.35,AL26,IF(C35=AG15,AL26,""))</f>
        <v/>
      </c>
      <c r="O35" s="352"/>
      <c r="P35" s="352"/>
      <c r="Q35" s="352"/>
      <c r="R35" s="352"/>
      <c r="S35" s="353"/>
    </row>
    <row r="36" spans="2:32">
      <c r="G36" s="357"/>
      <c r="H36" s="358"/>
      <c r="I36" s="358"/>
      <c r="J36" s="358"/>
      <c r="K36" s="358"/>
      <c r="L36" s="359"/>
      <c r="N36" s="357"/>
      <c r="O36" s="358"/>
      <c r="P36" s="358"/>
      <c r="Q36" s="358"/>
      <c r="R36" s="358"/>
      <c r="S36" s="359"/>
    </row>
  </sheetData>
  <mergeCells count="13">
    <mergeCell ref="G21:L26"/>
    <mergeCell ref="N21:S22"/>
    <mergeCell ref="N24:S26"/>
    <mergeCell ref="G28:L36"/>
    <mergeCell ref="N28:S33"/>
    <mergeCell ref="N35:S36"/>
    <mergeCell ref="G3:L10"/>
    <mergeCell ref="N3:S10"/>
    <mergeCell ref="G12:L15"/>
    <mergeCell ref="N12:S15"/>
    <mergeCell ref="G16:L19"/>
    <mergeCell ref="N16:S17"/>
    <mergeCell ref="N18:S19"/>
  </mergeCells>
  <conditionalFormatting sqref="C14">
    <cfRule type="cellIs" dxfId="9" priority="10" stopIfTrue="1" operator="greaterThan">
      <formula>$C$13</formula>
    </cfRule>
  </conditionalFormatting>
  <conditionalFormatting sqref="C9">
    <cfRule type="cellIs" dxfId="8" priority="8" stopIfTrue="1" operator="lessThan">
      <formula>$E$5</formula>
    </cfRule>
    <cfRule type="cellIs" dxfId="7" priority="9" stopIfTrue="1" operator="greaterThan">
      <formula>$E$6</formula>
    </cfRule>
  </conditionalFormatting>
  <conditionalFormatting sqref="C35">
    <cfRule type="expression" dxfId="6" priority="7" stopIfTrue="1">
      <formula>$B$35=""</formula>
    </cfRule>
  </conditionalFormatting>
  <conditionalFormatting sqref="C21">
    <cfRule type="cellIs" dxfId="5" priority="5" stopIfTrue="1" operator="between">
      <formula>0</formula>
      <formula>0.5</formula>
    </cfRule>
    <cfRule type="cellIs" dxfId="4" priority="6" stopIfTrue="1" operator="between">
      <formula>0.5</formula>
      <formula>0.6</formula>
    </cfRule>
  </conditionalFormatting>
  <conditionalFormatting sqref="C23:C25">
    <cfRule type="expression" dxfId="3" priority="4" stopIfTrue="1">
      <formula>$C$21&lt;0.5</formula>
    </cfRule>
  </conditionalFormatting>
  <conditionalFormatting sqref="C33">
    <cfRule type="cellIs" dxfId="2" priority="1" stopIfTrue="1" operator="lessThan">
      <formula>$E$33</formula>
    </cfRule>
    <cfRule type="cellIs" dxfId="1" priority="2" stopIfTrue="1" operator="greaterThan">
      <formula>$E$34</formula>
    </cfRule>
    <cfRule type="cellIs" dxfId="0" priority="3" stopIfTrue="1" operator="lessThan">
      <formula>0.25</formula>
    </cfRule>
  </conditionalFormatting>
  <dataValidations count="10">
    <dataValidation type="list" allowBlank="1" showInputMessage="1" showErrorMessage="1" sqref="AH30:AI30 KD30:KE30 TZ30:UA30 ADV30:ADW30 ANR30:ANS30 AXN30:AXO30 BHJ30:BHK30 BRF30:BRG30 CBB30:CBC30 CKX30:CKY30 CUT30:CUU30 DEP30:DEQ30 DOL30:DOM30 DYH30:DYI30 EID30:EIE30 ERZ30:ESA30 FBV30:FBW30 FLR30:FLS30 FVN30:FVO30 GFJ30:GFK30 GPF30:GPG30 GZB30:GZC30 HIX30:HIY30 HST30:HSU30 ICP30:ICQ30 IML30:IMM30 IWH30:IWI30 JGD30:JGE30 JPZ30:JQA30 JZV30:JZW30 KJR30:KJS30 KTN30:KTO30 LDJ30:LDK30 LNF30:LNG30 LXB30:LXC30 MGX30:MGY30 MQT30:MQU30 NAP30:NAQ30 NKL30:NKM30 NUH30:NUI30 OED30:OEE30 ONZ30:OOA30 OXV30:OXW30 PHR30:PHS30 PRN30:PRO30 QBJ30:QBK30 QLF30:QLG30 QVB30:QVC30 REX30:REY30 ROT30:ROU30 RYP30:RYQ30 SIL30:SIM30 SSH30:SSI30 TCD30:TCE30 TLZ30:TMA30 TVV30:TVW30 UFR30:UFS30 UPN30:UPO30 UZJ30:UZK30 VJF30:VJG30 VTB30:VTC30 WCX30:WCY30 WMT30:WMU30 WWP30:WWQ30 AH65566:AI65566 KD65566:KE65566 TZ65566:UA65566 ADV65566:ADW65566 ANR65566:ANS65566 AXN65566:AXO65566 BHJ65566:BHK65566 BRF65566:BRG65566 CBB65566:CBC65566 CKX65566:CKY65566 CUT65566:CUU65566 DEP65566:DEQ65566 DOL65566:DOM65566 DYH65566:DYI65566 EID65566:EIE65566 ERZ65566:ESA65566 FBV65566:FBW65566 FLR65566:FLS65566 FVN65566:FVO65566 GFJ65566:GFK65566 GPF65566:GPG65566 GZB65566:GZC65566 HIX65566:HIY65566 HST65566:HSU65566 ICP65566:ICQ65566 IML65566:IMM65566 IWH65566:IWI65566 JGD65566:JGE65566 JPZ65566:JQA65566 JZV65566:JZW65566 KJR65566:KJS65566 KTN65566:KTO65566 LDJ65566:LDK65566 LNF65566:LNG65566 LXB65566:LXC65566 MGX65566:MGY65566 MQT65566:MQU65566 NAP65566:NAQ65566 NKL65566:NKM65566 NUH65566:NUI65566 OED65566:OEE65566 ONZ65566:OOA65566 OXV65566:OXW65566 PHR65566:PHS65566 PRN65566:PRO65566 QBJ65566:QBK65566 QLF65566:QLG65566 QVB65566:QVC65566 REX65566:REY65566 ROT65566:ROU65566 RYP65566:RYQ65566 SIL65566:SIM65566 SSH65566:SSI65566 TCD65566:TCE65566 TLZ65566:TMA65566 TVV65566:TVW65566 UFR65566:UFS65566 UPN65566:UPO65566 UZJ65566:UZK65566 VJF65566:VJG65566 VTB65566:VTC65566 WCX65566:WCY65566 WMT65566:WMU65566 WWP65566:WWQ65566 AH131102:AI131102 KD131102:KE131102 TZ131102:UA131102 ADV131102:ADW131102 ANR131102:ANS131102 AXN131102:AXO131102 BHJ131102:BHK131102 BRF131102:BRG131102 CBB131102:CBC131102 CKX131102:CKY131102 CUT131102:CUU131102 DEP131102:DEQ131102 DOL131102:DOM131102 DYH131102:DYI131102 EID131102:EIE131102 ERZ131102:ESA131102 FBV131102:FBW131102 FLR131102:FLS131102 FVN131102:FVO131102 GFJ131102:GFK131102 GPF131102:GPG131102 GZB131102:GZC131102 HIX131102:HIY131102 HST131102:HSU131102 ICP131102:ICQ131102 IML131102:IMM131102 IWH131102:IWI131102 JGD131102:JGE131102 JPZ131102:JQA131102 JZV131102:JZW131102 KJR131102:KJS131102 KTN131102:KTO131102 LDJ131102:LDK131102 LNF131102:LNG131102 LXB131102:LXC131102 MGX131102:MGY131102 MQT131102:MQU131102 NAP131102:NAQ131102 NKL131102:NKM131102 NUH131102:NUI131102 OED131102:OEE131102 ONZ131102:OOA131102 OXV131102:OXW131102 PHR131102:PHS131102 PRN131102:PRO131102 QBJ131102:QBK131102 QLF131102:QLG131102 QVB131102:QVC131102 REX131102:REY131102 ROT131102:ROU131102 RYP131102:RYQ131102 SIL131102:SIM131102 SSH131102:SSI131102 TCD131102:TCE131102 TLZ131102:TMA131102 TVV131102:TVW131102 UFR131102:UFS131102 UPN131102:UPO131102 UZJ131102:UZK131102 VJF131102:VJG131102 VTB131102:VTC131102 WCX131102:WCY131102 WMT131102:WMU131102 WWP131102:WWQ131102 AH196638:AI196638 KD196638:KE196638 TZ196638:UA196638 ADV196638:ADW196638 ANR196638:ANS196638 AXN196638:AXO196638 BHJ196638:BHK196638 BRF196638:BRG196638 CBB196638:CBC196638 CKX196638:CKY196638 CUT196638:CUU196638 DEP196638:DEQ196638 DOL196638:DOM196638 DYH196638:DYI196638 EID196638:EIE196638 ERZ196638:ESA196638 FBV196638:FBW196638 FLR196638:FLS196638 FVN196638:FVO196638 GFJ196638:GFK196638 GPF196638:GPG196638 GZB196638:GZC196638 HIX196638:HIY196638 HST196638:HSU196638 ICP196638:ICQ196638 IML196638:IMM196638 IWH196638:IWI196638 JGD196638:JGE196638 JPZ196638:JQA196638 JZV196638:JZW196638 KJR196638:KJS196638 KTN196638:KTO196638 LDJ196638:LDK196638 LNF196638:LNG196638 LXB196638:LXC196638 MGX196638:MGY196638 MQT196638:MQU196638 NAP196638:NAQ196638 NKL196638:NKM196638 NUH196638:NUI196638 OED196638:OEE196638 ONZ196638:OOA196638 OXV196638:OXW196638 PHR196638:PHS196638 PRN196638:PRO196638 QBJ196638:QBK196638 QLF196638:QLG196638 QVB196638:QVC196638 REX196638:REY196638 ROT196638:ROU196638 RYP196638:RYQ196638 SIL196638:SIM196638 SSH196638:SSI196638 TCD196638:TCE196638 TLZ196638:TMA196638 TVV196638:TVW196638 UFR196638:UFS196638 UPN196638:UPO196638 UZJ196638:UZK196638 VJF196638:VJG196638 VTB196638:VTC196638 WCX196638:WCY196638 WMT196638:WMU196638 WWP196638:WWQ196638 AH262174:AI262174 KD262174:KE262174 TZ262174:UA262174 ADV262174:ADW262174 ANR262174:ANS262174 AXN262174:AXO262174 BHJ262174:BHK262174 BRF262174:BRG262174 CBB262174:CBC262174 CKX262174:CKY262174 CUT262174:CUU262174 DEP262174:DEQ262174 DOL262174:DOM262174 DYH262174:DYI262174 EID262174:EIE262174 ERZ262174:ESA262174 FBV262174:FBW262174 FLR262174:FLS262174 FVN262174:FVO262174 GFJ262174:GFK262174 GPF262174:GPG262174 GZB262174:GZC262174 HIX262174:HIY262174 HST262174:HSU262174 ICP262174:ICQ262174 IML262174:IMM262174 IWH262174:IWI262174 JGD262174:JGE262174 JPZ262174:JQA262174 JZV262174:JZW262174 KJR262174:KJS262174 KTN262174:KTO262174 LDJ262174:LDK262174 LNF262174:LNG262174 LXB262174:LXC262174 MGX262174:MGY262174 MQT262174:MQU262174 NAP262174:NAQ262174 NKL262174:NKM262174 NUH262174:NUI262174 OED262174:OEE262174 ONZ262174:OOA262174 OXV262174:OXW262174 PHR262174:PHS262174 PRN262174:PRO262174 QBJ262174:QBK262174 QLF262174:QLG262174 QVB262174:QVC262174 REX262174:REY262174 ROT262174:ROU262174 RYP262174:RYQ262174 SIL262174:SIM262174 SSH262174:SSI262174 TCD262174:TCE262174 TLZ262174:TMA262174 TVV262174:TVW262174 UFR262174:UFS262174 UPN262174:UPO262174 UZJ262174:UZK262174 VJF262174:VJG262174 VTB262174:VTC262174 WCX262174:WCY262174 WMT262174:WMU262174 WWP262174:WWQ262174 AH327710:AI327710 KD327710:KE327710 TZ327710:UA327710 ADV327710:ADW327710 ANR327710:ANS327710 AXN327710:AXO327710 BHJ327710:BHK327710 BRF327710:BRG327710 CBB327710:CBC327710 CKX327710:CKY327710 CUT327710:CUU327710 DEP327710:DEQ327710 DOL327710:DOM327710 DYH327710:DYI327710 EID327710:EIE327710 ERZ327710:ESA327710 FBV327710:FBW327710 FLR327710:FLS327710 FVN327710:FVO327710 GFJ327710:GFK327710 GPF327710:GPG327710 GZB327710:GZC327710 HIX327710:HIY327710 HST327710:HSU327710 ICP327710:ICQ327710 IML327710:IMM327710 IWH327710:IWI327710 JGD327710:JGE327710 JPZ327710:JQA327710 JZV327710:JZW327710 KJR327710:KJS327710 KTN327710:KTO327710 LDJ327710:LDK327710 LNF327710:LNG327710 LXB327710:LXC327710 MGX327710:MGY327710 MQT327710:MQU327710 NAP327710:NAQ327710 NKL327710:NKM327710 NUH327710:NUI327710 OED327710:OEE327710 ONZ327710:OOA327710 OXV327710:OXW327710 PHR327710:PHS327710 PRN327710:PRO327710 QBJ327710:QBK327710 QLF327710:QLG327710 QVB327710:QVC327710 REX327710:REY327710 ROT327710:ROU327710 RYP327710:RYQ327710 SIL327710:SIM327710 SSH327710:SSI327710 TCD327710:TCE327710 TLZ327710:TMA327710 TVV327710:TVW327710 UFR327710:UFS327710 UPN327710:UPO327710 UZJ327710:UZK327710 VJF327710:VJG327710 VTB327710:VTC327710 WCX327710:WCY327710 WMT327710:WMU327710 WWP327710:WWQ327710 AH393246:AI393246 KD393246:KE393246 TZ393246:UA393246 ADV393246:ADW393246 ANR393246:ANS393246 AXN393246:AXO393246 BHJ393246:BHK393246 BRF393246:BRG393246 CBB393246:CBC393246 CKX393246:CKY393246 CUT393246:CUU393246 DEP393246:DEQ393246 DOL393246:DOM393246 DYH393246:DYI393246 EID393246:EIE393246 ERZ393246:ESA393246 FBV393246:FBW393246 FLR393246:FLS393246 FVN393246:FVO393246 GFJ393246:GFK393246 GPF393246:GPG393246 GZB393246:GZC393246 HIX393246:HIY393246 HST393246:HSU393246 ICP393246:ICQ393246 IML393246:IMM393246 IWH393246:IWI393246 JGD393246:JGE393246 JPZ393246:JQA393246 JZV393246:JZW393246 KJR393246:KJS393246 KTN393246:KTO393246 LDJ393246:LDK393246 LNF393246:LNG393246 LXB393246:LXC393246 MGX393246:MGY393246 MQT393246:MQU393246 NAP393246:NAQ393246 NKL393246:NKM393246 NUH393246:NUI393246 OED393246:OEE393246 ONZ393246:OOA393246 OXV393246:OXW393246 PHR393246:PHS393246 PRN393246:PRO393246 QBJ393246:QBK393246 QLF393246:QLG393246 QVB393246:QVC393246 REX393246:REY393246 ROT393246:ROU393246 RYP393246:RYQ393246 SIL393246:SIM393246 SSH393246:SSI393246 TCD393246:TCE393246 TLZ393246:TMA393246 TVV393246:TVW393246 UFR393246:UFS393246 UPN393246:UPO393246 UZJ393246:UZK393246 VJF393246:VJG393246 VTB393246:VTC393246 WCX393246:WCY393246 WMT393246:WMU393246 WWP393246:WWQ393246 AH458782:AI458782 KD458782:KE458782 TZ458782:UA458782 ADV458782:ADW458782 ANR458782:ANS458782 AXN458782:AXO458782 BHJ458782:BHK458782 BRF458782:BRG458782 CBB458782:CBC458782 CKX458782:CKY458782 CUT458782:CUU458782 DEP458782:DEQ458782 DOL458782:DOM458782 DYH458782:DYI458782 EID458782:EIE458782 ERZ458782:ESA458782 FBV458782:FBW458782 FLR458782:FLS458782 FVN458782:FVO458782 GFJ458782:GFK458782 GPF458782:GPG458782 GZB458782:GZC458782 HIX458782:HIY458782 HST458782:HSU458782 ICP458782:ICQ458782 IML458782:IMM458782 IWH458782:IWI458782 JGD458782:JGE458782 JPZ458782:JQA458782 JZV458782:JZW458782 KJR458782:KJS458782 KTN458782:KTO458782 LDJ458782:LDK458782 LNF458782:LNG458782 LXB458782:LXC458782 MGX458782:MGY458782 MQT458782:MQU458782 NAP458782:NAQ458782 NKL458782:NKM458782 NUH458782:NUI458782 OED458782:OEE458782 ONZ458782:OOA458782 OXV458782:OXW458782 PHR458782:PHS458782 PRN458782:PRO458782 QBJ458782:QBK458782 QLF458782:QLG458782 QVB458782:QVC458782 REX458782:REY458782 ROT458782:ROU458782 RYP458782:RYQ458782 SIL458782:SIM458782 SSH458782:SSI458782 TCD458782:TCE458782 TLZ458782:TMA458782 TVV458782:TVW458782 UFR458782:UFS458782 UPN458782:UPO458782 UZJ458782:UZK458782 VJF458782:VJG458782 VTB458782:VTC458782 WCX458782:WCY458782 WMT458782:WMU458782 WWP458782:WWQ458782 AH524318:AI524318 KD524318:KE524318 TZ524318:UA524318 ADV524318:ADW524318 ANR524318:ANS524318 AXN524318:AXO524318 BHJ524318:BHK524318 BRF524318:BRG524318 CBB524318:CBC524318 CKX524318:CKY524318 CUT524318:CUU524318 DEP524318:DEQ524318 DOL524318:DOM524318 DYH524318:DYI524318 EID524318:EIE524318 ERZ524318:ESA524318 FBV524318:FBW524318 FLR524318:FLS524318 FVN524318:FVO524318 GFJ524318:GFK524318 GPF524318:GPG524318 GZB524318:GZC524318 HIX524318:HIY524318 HST524318:HSU524318 ICP524318:ICQ524318 IML524318:IMM524318 IWH524318:IWI524318 JGD524318:JGE524318 JPZ524318:JQA524318 JZV524318:JZW524318 KJR524318:KJS524318 KTN524318:KTO524318 LDJ524318:LDK524318 LNF524318:LNG524318 LXB524318:LXC524318 MGX524318:MGY524318 MQT524318:MQU524318 NAP524318:NAQ524318 NKL524318:NKM524318 NUH524318:NUI524318 OED524318:OEE524318 ONZ524318:OOA524318 OXV524318:OXW524318 PHR524318:PHS524318 PRN524318:PRO524318 QBJ524318:QBK524318 QLF524318:QLG524318 QVB524318:QVC524318 REX524318:REY524318 ROT524318:ROU524318 RYP524318:RYQ524318 SIL524318:SIM524318 SSH524318:SSI524318 TCD524318:TCE524318 TLZ524318:TMA524318 TVV524318:TVW524318 UFR524318:UFS524318 UPN524318:UPO524318 UZJ524318:UZK524318 VJF524318:VJG524318 VTB524318:VTC524318 WCX524318:WCY524318 WMT524318:WMU524318 WWP524318:WWQ524318 AH589854:AI589854 KD589854:KE589854 TZ589854:UA589854 ADV589854:ADW589854 ANR589854:ANS589854 AXN589854:AXO589854 BHJ589854:BHK589854 BRF589854:BRG589854 CBB589854:CBC589854 CKX589854:CKY589854 CUT589854:CUU589854 DEP589854:DEQ589854 DOL589854:DOM589854 DYH589854:DYI589854 EID589854:EIE589854 ERZ589854:ESA589854 FBV589854:FBW589854 FLR589854:FLS589854 FVN589854:FVO589854 GFJ589854:GFK589854 GPF589854:GPG589854 GZB589854:GZC589854 HIX589854:HIY589854 HST589854:HSU589854 ICP589854:ICQ589854 IML589854:IMM589854 IWH589854:IWI589854 JGD589854:JGE589854 JPZ589854:JQA589854 JZV589854:JZW589854 KJR589854:KJS589854 KTN589854:KTO589854 LDJ589854:LDK589854 LNF589854:LNG589854 LXB589854:LXC589854 MGX589854:MGY589854 MQT589854:MQU589854 NAP589854:NAQ589854 NKL589854:NKM589854 NUH589854:NUI589854 OED589854:OEE589854 ONZ589854:OOA589854 OXV589854:OXW589854 PHR589854:PHS589854 PRN589854:PRO589854 QBJ589854:QBK589854 QLF589854:QLG589854 QVB589854:QVC589854 REX589854:REY589854 ROT589854:ROU589854 RYP589854:RYQ589854 SIL589854:SIM589854 SSH589854:SSI589854 TCD589854:TCE589854 TLZ589854:TMA589854 TVV589854:TVW589854 UFR589854:UFS589854 UPN589854:UPO589854 UZJ589854:UZK589854 VJF589854:VJG589854 VTB589854:VTC589854 WCX589854:WCY589854 WMT589854:WMU589854 WWP589854:WWQ589854 AH655390:AI655390 KD655390:KE655390 TZ655390:UA655390 ADV655390:ADW655390 ANR655390:ANS655390 AXN655390:AXO655390 BHJ655390:BHK655390 BRF655390:BRG655390 CBB655390:CBC655390 CKX655390:CKY655390 CUT655390:CUU655390 DEP655390:DEQ655390 DOL655390:DOM655390 DYH655390:DYI655390 EID655390:EIE655390 ERZ655390:ESA655390 FBV655390:FBW655390 FLR655390:FLS655390 FVN655390:FVO655390 GFJ655390:GFK655390 GPF655390:GPG655390 GZB655390:GZC655390 HIX655390:HIY655390 HST655390:HSU655390 ICP655390:ICQ655390 IML655390:IMM655390 IWH655390:IWI655390 JGD655390:JGE655390 JPZ655390:JQA655390 JZV655390:JZW655390 KJR655390:KJS655390 KTN655390:KTO655390 LDJ655390:LDK655390 LNF655390:LNG655390 LXB655390:LXC655390 MGX655390:MGY655390 MQT655390:MQU655390 NAP655390:NAQ655390 NKL655390:NKM655390 NUH655390:NUI655390 OED655390:OEE655390 ONZ655390:OOA655390 OXV655390:OXW655390 PHR655390:PHS655390 PRN655390:PRO655390 QBJ655390:QBK655390 QLF655390:QLG655390 QVB655390:QVC655390 REX655390:REY655390 ROT655390:ROU655390 RYP655390:RYQ655390 SIL655390:SIM655390 SSH655390:SSI655390 TCD655390:TCE655390 TLZ655390:TMA655390 TVV655390:TVW655390 UFR655390:UFS655390 UPN655390:UPO655390 UZJ655390:UZK655390 VJF655390:VJG655390 VTB655390:VTC655390 WCX655390:WCY655390 WMT655390:WMU655390 WWP655390:WWQ655390 AH720926:AI720926 KD720926:KE720926 TZ720926:UA720926 ADV720926:ADW720926 ANR720926:ANS720926 AXN720926:AXO720926 BHJ720926:BHK720926 BRF720926:BRG720926 CBB720926:CBC720926 CKX720926:CKY720926 CUT720926:CUU720926 DEP720926:DEQ720926 DOL720926:DOM720926 DYH720926:DYI720926 EID720926:EIE720926 ERZ720926:ESA720926 FBV720926:FBW720926 FLR720926:FLS720926 FVN720926:FVO720926 GFJ720926:GFK720926 GPF720926:GPG720926 GZB720926:GZC720926 HIX720926:HIY720926 HST720926:HSU720926 ICP720926:ICQ720926 IML720926:IMM720926 IWH720926:IWI720926 JGD720926:JGE720926 JPZ720926:JQA720926 JZV720926:JZW720926 KJR720926:KJS720926 KTN720926:KTO720926 LDJ720926:LDK720926 LNF720926:LNG720926 LXB720926:LXC720926 MGX720926:MGY720926 MQT720926:MQU720926 NAP720926:NAQ720926 NKL720926:NKM720926 NUH720926:NUI720926 OED720926:OEE720926 ONZ720926:OOA720926 OXV720926:OXW720926 PHR720926:PHS720926 PRN720926:PRO720926 QBJ720926:QBK720926 QLF720926:QLG720926 QVB720926:QVC720926 REX720926:REY720926 ROT720926:ROU720926 RYP720926:RYQ720926 SIL720926:SIM720926 SSH720926:SSI720926 TCD720926:TCE720926 TLZ720926:TMA720926 TVV720926:TVW720926 UFR720926:UFS720926 UPN720926:UPO720926 UZJ720926:UZK720926 VJF720926:VJG720926 VTB720926:VTC720926 WCX720926:WCY720926 WMT720926:WMU720926 WWP720926:WWQ720926 AH786462:AI786462 KD786462:KE786462 TZ786462:UA786462 ADV786462:ADW786462 ANR786462:ANS786462 AXN786462:AXO786462 BHJ786462:BHK786462 BRF786462:BRG786462 CBB786462:CBC786462 CKX786462:CKY786462 CUT786462:CUU786462 DEP786462:DEQ786462 DOL786462:DOM786462 DYH786462:DYI786462 EID786462:EIE786462 ERZ786462:ESA786462 FBV786462:FBW786462 FLR786462:FLS786462 FVN786462:FVO786462 GFJ786462:GFK786462 GPF786462:GPG786462 GZB786462:GZC786462 HIX786462:HIY786462 HST786462:HSU786462 ICP786462:ICQ786462 IML786462:IMM786462 IWH786462:IWI786462 JGD786462:JGE786462 JPZ786462:JQA786462 JZV786462:JZW786462 KJR786462:KJS786462 KTN786462:KTO786462 LDJ786462:LDK786462 LNF786462:LNG786462 LXB786462:LXC786462 MGX786462:MGY786462 MQT786462:MQU786462 NAP786462:NAQ786462 NKL786462:NKM786462 NUH786462:NUI786462 OED786462:OEE786462 ONZ786462:OOA786462 OXV786462:OXW786462 PHR786462:PHS786462 PRN786462:PRO786462 QBJ786462:QBK786462 QLF786462:QLG786462 QVB786462:QVC786462 REX786462:REY786462 ROT786462:ROU786462 RYP786462:RYQ786462 SIL786462:SIM786462 SSH786462:SSI786462 TCD786462:TCE786462 TLZ786462:TMA786462 TVV786462:TVW786462 UFR786462:UFS786462 UPN786462:UPO786462 UZJ786462:UZK786462 VJF786462:VJG786462 VTB786462:VTC786462 WCX786462:WCY786462 WMT786462:WMU786462 WWP786462:WWQ786462 AH851998:AI851998 KD851998:KE851998 TZ851998:UA851998 ADV851998:ADW851998 ANR851998:ANS851998 AXN851998:AXO851998 BHJ851998:BHK851998 BRF851998:BRG851998 CBB851998:CBC851998 CKX851998:CKY851998 CUT851998:CUU851998 DEP851998:DEQ851998 DOL851998:DOM851998 DYH851998:DYI851998 EID851998:EIE851998 ERZ851998:ESA851998 FBV851998:FBW851998 FLR851998:FLS851998 FVN851998:FVO851998 GFJ851998:GFK851998 GPF851998:GPG851998 GZB851998:GZC851998 HIX851998:HIY851998 HST851998:HSU851998 ICP851998:ICQ851998 IML851998:IMM851998 IWH851998:IWI851998 JGD851998:JGE851998 JPZ851998:JQA851998 JZV851998:JZW851998 KJR851998:KJS851998 KTN851998:KTO851998 LDJ851998:LDK851998 LNF851998:LNG851998 LXB851998:LXC851998 MGX851998:MGY851998 MQT851998:MQU851998 NAP851998:NAQ851998 NKL851998:NKM851998 NUH851998:NUI851998 OED851998:OEE851998 ONZ851998:OOA851998 OXV851998:OXW851998 PHR851998:PHS851998 PRN851998:PRO851998 QBJ851998:QBK851998 QLF851998:QLG851998 QVB851998:QVC851998 REX851998:REY851998 ROT851998:ROU851998 RYP851998:RYQ851998 SIL851998:SIM851998 SSH851998:SSI851998 TCD851998:TCE851998 TLZ851998:TMA851998 TVV851998:TVW851998 UFR851998:UFS851998 UPN851998:UPO851998 UZJ851998:UZK851998 VJF851998:VJG851998 VTB851998:VTC851998 WCX851998:WCY851998 WMT851998:WMU851998 WWP851998:WWQ851998 AH917534:AI917534 KD917534:KE917534 TZ917534:UA917534 ADV917534:ADW917534 ANR917534:ANS917534 AXN917534:AXO917534 BHJ917534:BHK917534 BRF917534:BRG917534 CBB917534:CBC917534 CKX917534:CKY917534 CUT917534:CUU917534 DEP917534:DEQ917534 DOL917534:DOM917534 DYH917534:DYI917534 EID917534:EIE917534 ERZ917534:ESA917534 FBV917534:FBW917534 FLR917534:FLS917534 FVN917534:FVO917534 GFJ917534:GFK917534 GPF917534:GPG917534 GZB917534:GZC917534 HIX917534:HIY917534 HST917534:HSU917534 ICP917534:ICQ917534 IML917534:IMM917534 IWH917534:IWI917534 JGD917534:JGE917534 JPZ917534:JQA917534 JZV917534:JZW917534 KJR917534:KJS917534 KTN917534:KTO917534 LDJ917534:LDK917534 LNF917534:LNG917534 LXB917534:LXC917534 MGX917534:MGY917534 MQT917534:MQU917534 NAP917534:NAQ917534 NKL917534:NKM917534 NUH917534:NUI917534 OED917534:OEE917534 ONZ917534:OOA917534 OXV917534:OXW917534 PHR917534:PHS917534 PRN917534:PRO917534 QBJ917534:QBK917534 QLF917534:QLG917534 QVB917534:QVC917534 REX917534:REY917534 ROT917534:ROU917534 RYP917534:RYQ917534 SIL917534:SIM917534 SSH917534:SSI917534 TCD917534:TCE917534 TLZ917534:TMA917534 TVV917534:TVW917534 UFR917534:UFS917534 UPN917534:UPO917534 UZJ917534:UZK917534 VJF917534:VJG917534 VTB917534:VTC917534 WCX917534:WCY917534 WMT917534:WMU917534 WWP917534:WWQ917534 AH983070:AI983070 KD983070:KE983070 TZ983070:UA983070 ADV983070:ADW983070 ANR983070:ANS983070 AXN983070:AXO983070 BHJ983070:BHK983070 BRF983070:BRG983070 CBB983070:CBC983070 CKX983070:CKY983070 CUT983070:CUU983070 DEP983070:DEQ983070 DOL983070:DOM983070 DYH983070:DYI983070 EID983070:EIE983070 ERZ983070:ESA983070 FBV983070:FBW983070 FLR983070:FLS983070 FVN983070:FVO983070 GFJ983070:GFK983070 GPF983070:GPG983070 GZB983070:GZC983070 HIX983070:HIY983070 HST983070:HSU983070 ICP983070:ICQ983070 IML983070:IMM983070 IWH983070:IWI983070 JGD983070:JGE983070 JPZ983070:JQA983070 JZV983070:JZW983070 KJR983070:KJS983070 KTN983070:KTO983070 LDJ983070:LDK983070 LNF983070:LNG983070 LXB983070:LXC983070 MGX983070:MGY983070 MQT983070:MQU983070 NAP983070:NAQ983070 NKL983070:NKM983070 NUH983070:NUI983070 OED983070:OEE983070 ONZ983070:OOA983070 OXV983070:OXW983070 PHR983070:PHS983070 PRN983070:PRO983070 QBJ983070:QBK983070 QLF983070:QLG983070 QVB983070:QVC983070 REX983070:REY983070 ROT983070:ROU983070 RYP983070:RYQ983070 SIL983070:SIM983070 SSH983070:SSI983070 TCD983070:TCE983070 TLZ983070:TMA983070 TVV983070:TVW983070 UFR983070:UFS983070 UPN983070:UPO983070 UZJ983070:UZK983070 VJF983070:VJG983070 VTB983070:VTC983070 WCX983070:WCY983070 WMT983070:WMU983070 WWP983070:WWQ983070">
      <formula1>$AH$21:$AH$22</formula1>
    </dataValidation>
    <dataValidation type="list" allowBlank="1" showInputMessage="1" showErrorMessage="1" sqref="AH27:AI27 KD27:KE27 TZ27:UA27 ADV27:ADW27 ANR27:ANS27 AXN27:AXO27 BHJ27:BHK27 BRF27:BRG27 CBB27:CBC27 CKX27:CKY27 CUT27:CUU27 DEP27:DEQ27 DOL27:DOM27 DYH27:DYI27 EID27:EIE27 ERZ27:ESA27 FBV27:FBW27 FLR27:FLS27 FVN27:FVO27 GFJ27:GFK27 GPF27:GPG27 GZB27:GZC27 HIX27:HIY27 HST27:HSU27 ICP27:ICQ27 IML27:IMM27 IWH27:IWI27 JGD27:JGE27 JPZ27:JQA27 JZV27:JZW27 KJR27:KJS27 KTN27:KTO27 LDJ27:LDK27 LNF27:LNG27 LXB27:LXC27 MGX27:MGY27 MQT27:MQU27 NAP27:NAQ27 NKL27:NKM27 NUH27:NUI27 OED27:OEE27 ONZ27:OOA27 OXV27:OXW27 PHR27:PHS27 PRN27:PRO27 QBJ27:QBK27 QLF27:QLG27 QVB27:QVC27 REX27:REY27 ROT27:ROU27 RYP27:RYQ27 SIL27:SIM27 SSH27:SSI27 TCD27:TCE27 TLZ27:TMA27 TVV27:TVW27 UFR27:UFS27 UPN27:UPO27 UZJ27:UZK27 VJF27:VJG27 VTB27:VTC27 WCX27:WCY27 WMT27:WMU27 WWP27:WWQ27 AH65563:AI65563 KD65563:KE65563 TZ65563:UA65563 ADV65563:ADW65563 ANR65563:ANS65563 AXN65563:AXO65563 BHJ65563:BHK65563 BRF65563:BRG65563 CBB65563:CBC65563 CKX65563:CKY65563 CUT65563:CUU65563 DEP65563:DEQ65563 DOL65563:DOM65563 DYH65563:DYI65563 EID65563:EIE65563 ERZ65563:ESA65563 FBV65563:FBW65563 FLR65563:FLS65563 FVN65563:FVO65563 GFJ65563:GFK65563 GPF65563:GPG65563 GZB65563:GZC65563 HIX65563:HIY65563 HST65563:HSU65563 ICP65563:ICQ65563 IML65563:IMM65563 IWH65563:IWI65563 JGD65563:JGE65563 JPZ65563:JQA65563 JZV65563:JZW65563 KJR65563:KJS65563 KTN65563:KTO65563 LDJ65563:LDK65563 LNF65563:LNG65563 LXB65563:LXC65563 MGX65563:MGY65563 MQT65563:MQU65563 NAP65563:NAQ65563 NKL65563:NKM65563 NUH65563:NUI65563 OED65563:OEE65563 ONZ65563:OOA65563 OXV65563:OXW65563 PHR65563:PHS65563 PRN65563:PRO65563 QBJ65563:QBK65563 QLF65563:QLG65563 QVB65563:QVC65563 REX65563:REY65563 ROT65563:ROU65563 RYP65563:RYQ65563 SIL65563:SIM65563 SSH65563:SSI65563 TCD65563:TCE65563 TLZ65563:TMA65563 TVV65563:TVW65563 UFR65563:UFS65563 UPN65563:UPO65563 UZJ65563:UZK65563 VJF65563:VJG65563 VTB65563:VTC65563 WCX65563:WCY65563 WMT65563:WMU65563 WWP65563:WWQ65563 AH131099:AI131099 KD131099:KE131099 TZ131099:UA131099 ADV131099:ADW131099 ANR131099:ANS131099 AXN131099:AXO131099 BHJ131099:BHK131099 BRF131099:BRG131099 CBB131099:CBC131099 CKX131099:CKY131099 CUT131099:CUU131099 DEP131099:DEQ131099 DOL131099:DOM131099 DYH131099:DYI131099 EID131099:EIE131099 ERZ131099:ESA131099 FBV131099:FBW131099 FLR131099:FLS131099 FVN131099:FVO131099 GFJ131099:GFK131099 GPF131099:GPG131099 GZB131099:GZC131099 HIX131099:HIY131099 HST131099:HSU131099 ICP131099:ICQ131099 IML131099:IMM131099 IWH131099:IWI131099 JGD131099:JGE131099 JPZ131099:JQA131099 JZV131099:JZW131099 KJR131099:KJS131099 KTN131099:KTO131099 LDJ131099:LDK131099 LNF131099:LNG131099 LXB131099:LXC131099 MGX131099:MGY131099 MQT131099:MQU131099 NAP131099:NAQ131099 NKL131099:NKM131099 NUH131099:NUI131099 OED131099:OEE131099 ONZ131099:OOA131099 OXV131099:OXW131099 PHR131099:PHS131099 PRN131099:PRO131099 QBJ131099:QBK131099 QLF131099:QLG131099 QVB131099:QVC131099 REX131099:REY131099 ROT131099:ROU131099 RYP131099:RYQ131099 SIL131099:SIM131099 SSH131099:SSI131099 TCD131099:TCE131099 TLZ131099:TMA131099 TVV131099:TVW131099 UFR131099:UFS131099 UPN131099:UPO131099 UZJ131099:UZK131099 VJF131099:VJG131099 VTB131099:VTC131099 WCX131099:WCY131099 WMT131099:WMU131099 WWP131099:WWQ131099 AH196635:AI196635 KD196635:KE196635 TZ196635:UA196635 ADV196635:ADW196635 ANR196635:ANS196635 AXN196635:AXO196635 BHJ196635:BHK196635 BRF196635:BRG196635 CBB196635:CBC196635 CKX196635:CKY196635 CUT196635:CUU196635 DEP196635:DEQ196635 DOL196635:DOM196635 DYH196635:DYI196635 EID196635:EIE196635 ERZ196635:ESA196635 FBV196635:FBW196635 FLR196635:FLS196635 FVN196635:FVO196635 GFJ196635:GFK196635 GPF196635:GPG196635 GZB196635:GZC196635 HIX196635:HIY196635 HST196635:HSU196635 ICP196635:ICQ196635 IML196635:IMM196635 IWH196635:IWI196635 JGD196635:JGE196635 JPZ196635:JQA196635 JZV196635:JZW196635 KJR196635:KJS196635 KTN196635:KTO196635 LDJ196635:LDK196635 LNF196635:LNG196635 LXB196635:LXC196635 MGX196635:MGY196635 MQT196635:MQU196635 NAP196635:NAQ196635 NKL196635:NKM196635 NUH196635:NUI196635 OED196635:OEE196635 ONZ196635:OOA196635 OXV196635:OXW196635 PHR196635:PHS196635 PRN196635:PRO196635 QBJ196635:QBK196635 QLF196635:QLG196635 QVB196635:QVC196635 REX196635:REY196635 ROT196635:ROU196635 RYP196635:RYQ196635 SIL196635:SIM196635 SSH196635:SSI196635 TCD196635:TCE196635 TLZ196635:TMA196635 TVV196635:TVW196635 UFR196635:UFS196635 UPN196635:UPO196635 UZJ196635:UZK196635 VJF196635:VJG196635 VTB196635:VTC196635 WCX196635:WCY196635 WMT196635:WMU196635 WWP196635:WWQ196635 AH262171:AI262171 KD262171:KE262171 TZ262171:UA262171 ADV262171:ADW262171 ANR262171:ANS262171 AXN262171:AXO262171 BHJ262171:BHK262171 BRF262171:BRG262171 CBB262171:CBC262171 CKX262171:CKY262171 CUT262171:CUU262171 DEP262171:DEQ262171 DOL262171:DOM262171 DYH262171:DYI262171 EID262171:EIE262171 ERZ262171:ESA262171 FBV262171:FBW262171 FLR262171:FLS262171 FVN262171:FVO262171 GFJ262171:GFK262171 GPF262171:GPG262171 GZB262171:GZC262171 HIX262171:HIY262171 HST262171:HSU262171 ICP262171:ICQ262171 IML262171:IMM262171 IWH262171:IWI262171 JGD262171:JGE262171 JPZ262171:JQA262171 JZV262171:JZW262171 KJR262171:KJS262171 KTN262171:KTO262171 LDJ262171:LDK262171 LNF262171:LNG262171 LXB262171:LXC262171 MGX262171:MGY262171 MQT262171:MQU262171 NAP262171:NAQ262171 NKL262171:NKM262171 NUH262171:NUI262171 OED262171:OEE262171 ONZ262171:OOA262171 OXV262171:OXW262171 PHR262171:PHS262171 PRN262171:PRO262171 QBJ262171:QBK262171 QLF262171:QLG262171 QVB262171:QVC262171 REX262171:REY262171 ROT262171:ROU262171 RYP262171:RYQ262171 SIL262171:SIM262171 SSH262171:SSI262171 TCD262171:TCE262171 TLZ262171:TMA262171 TVV262171:TVW262171 UFR262171:UFS262171 UPN262171:UPO262171 UZJ262171:UZK262171 VJF262171:VJG262171 VTB262171:VTC262171 WCX262171:WCY262171 WMT262171:WMU262171 WWP262171:WWQ262171 AH327707:AI327707 KD327707:KE327707 TZ327707:UA327707 ADV327707:ADW327707 ANR327707:ANS327707 AXN327707:AXO327707 BHJ327707:BHK327707 BRF327707:BRG327707 CBB327707:CBC327707 CKX327707:CKY327707 CUT327707:CUU327707 DEP327707:DEQ327707 DOL327707:DOM327707 DYH327707:DYI327707 EID327707:EIE327707 ERZ327707:ESA327707 FBV327707:FBW327707 FLR327707:FLS327707 FVN327707:FVO327707 GFJ327707:GFK327707 GPF327707:GPG327707 GZB327707:GZC327707 HIX327707:HIY327707 HST327707:HSU327707 ICP327707:ICQ327707 IML327707:IMM327707 IWH327707:IWI327707 JGD327707:JGE327707 JPZ327707:JQA327707 JZV327707:JZW327707 KJR327707:KJS327707 KTN327707:KTO327707 LDJ327707:LDK327707 LNF327707:LNG327707 LXB327707:LXC327707 MGX327707:MGY327707 MQT327707:MQU327707 NAP327707:NAQ327707 NKL327707:NKM327707 NUH327707:NUI327707 OED327707:OEE327707 ONZ327707:OOA327707 OXV327707:OXW327707 PHR327707:PHS327707 PRN327707:PRO327707 QBJ327707:QBK327707 QLF327707:QLG327707 QVB327707:QVC327707 REX327707:REY327707 ROT327707:ROU327707 RYP327707:RYQ327707 SIL327707:SIM327707 SSH327707:SSI327707 TCD327707:TCE327707 TLZ327707:TMA327707 TVV327707:TVW327707 UFR327707:UFS327707 UPN327707:UPO327707 UZJ327707:UZK327707 VJF327707:VJG327707 VTB327707:VTC327707 WCX327707:WCY327707 WMT327707:WMU327707 WWP327707:WWQ327707 AH393243:AI393243 KD393243:KE393243 TZ393243:UA393243 ADV393243:ADW393243 ANR393243:ANS393243 AXN393243:AXO393243 BHJ393243:BHK393243 BRF393243:BRG393243 CBB393243:CBC393243 CKX393243:CKY393243 CUT393243:CUU393243 DEP393243:DEQ393243 DOL393243:DOM393243 DYH393243:DYI393243 EID393243:EIE393243 ERZ393243:ESA393243 FBV393243:FBW393243 FLR393243:FLS393243 FVN393243:FVO393243 GFJ393243:GFK393243 GPF393243:GPG393243 GZB393243:GZC393243 HIX393243:HIY393243 HST393243:HSU393243 ICP393243:ICQ393243 IML393243:IMM393243 IWH393243:IWI393243 JGD393243:JGE393243 JPZ393243:JQA393243 JZV393243:JZW393243 KJR393243:KJS393243 KTN393243:KTO393243 LDJ393243:LDK393243 LNF393243:LNG393243 LXB393243:LXC393243 MGX393243:MGY393243 MQT393243:MQU393243 NAP393243:NAQ393243 NKL393243:NKM393243 NUH393243:NUI393243 OED393243:OEE393243 ONZ393243:OOA393243 OXV393243:OXW393243 PHR393243:PHS393243 PRN393243:PRO393243 QBJ393243:QBK393243 QLF393243:QLG393243 QVB393243:QVC393243 REX393243:REY393243 ROT393243:ROU393243 RYP393243:RYQ393243 SIL393243:SIM393243 SSH393243:SSI393243 TCD393243:TCE393243 TLZ393243:TMA393243 TVV393243:TVW393243 UFR393243:UFS393243 UPN393243:UPO393243 UZJ393243:UZK393243 VJF393243:VJG393243 VTB393243:VTC393243 WCX393243:WCY393243 WMT393243:WMU393243 WWP393243:WWQ393243 AH458779:AI458779 KD458779:KE458779 TZ458779:UA458779 ADV458779:ADW458779 ANR458779:ANS458779 AXN458779:AXO458779 BHJ458779:BHK458779 BRF458779:BRG458779 CBB458779:CBC458779 CKX458779:CKY458779 CUT458779:CUU458779 DEP458779:DEQ458779 DOL458779:DOM458779 DYH458779:DYI458779 EID458779:EIE458779 ERZ458779:ESA458779 FBV458779:FBW458779 FLR458779:FLS458779 FVN458779:FVO458779 GFJ458779:GFK458779 GPF458779:GPG458779 GZB458779:GZC458779 HIX458779:HIY458779 HST458779:HSU458779 ICP458779:ICQ458779 IML458779:IMM458779 IWH458779:IWI458779 JGD458779:JGE458779 JPZ458779:JQA458779 JZV458779:JZW458779 KJR458779:KJS458779 KTN458779:KTO458779 LDJ458779:LDK458779 LNF458779:LNG458779 LXB458779:LXC458779 MGX458779:MGY458779 MQT458779:MQU458779 NAP458779:NAQ458779 NKL458779:NKM458779 NUH458779:NUI458779 OED458779:OEE458779 ONZ458779:OOA458779 OXV458779:OXW458779 PHR458779:PHS458779 PRN458779:PRO458779 QBJ458779:QBK458779 QLF458779:QLG458779 QVB458779:QVC458779 REX458779:REY458779 ROT458779:ROU458779 RYP458779:RYQ458779 SIL458779:SIM458779 SSH458779:SSI458779 TCD458779:TCE458779 TLZ458779:TMA458779 TVV458779:TVW458779 UFR458779:UFS458779 UPN458779:UPO458779 UZJ458779:UZK458779 VJF458779:VJG458779 VTB458779:VTC458779 WCX458779:WCY458779 WMT458779:WMU458779 WWP458779:WWQ458779 AH524315:AI524315 KD524315:KE524315 TZ524315:UA524315 ADV524315:ADW524315 ANR524315:ANS524315 AXN524315:AXO524315 BHJ524315:BHK524315 BRF524315:BRG524315 CBB524315:CBC524315 CKX524315:CKY524315 CUT524315:CUU524315 DEP524315:DEQ524315 DOL524315:DOM524315 DYH524315:DYI524315 EID524315:EIE524315 ERZ524315:ESA524315 FBV524315:FBW524315 FLR524315:FLS524315 FVN524315:FVO524315 GFJ524315:GFK524315 GPF524315:GPG524315 GZB524315:GZC524315 HIX524315:HIY524315 HST524315:HSU524315 ICP524315:ICQ524315 IML524315:IMM524315 IWH524315:IWI524315 JGD524315:JGE524315 JPZ524315:JQA524315 JZV524315:JZW524315 KJR524315:KJS524315 KTN524315:KTO524315 LDJ524315:LDK524315 LNF524315:LNG524315 LXB524315:LXC524315 MGX524315:MGY524315 MQT524315:MQU524315 NAP524315:NAQ524315 NKL524315:NKM524315 NUH524315:NUI524315 OED524315:OEE524315 ONZ524315:OOA524315 OXV524315:OXW524315 PHR524315:PHS524315 PRN524315:PRO524315 QBJ524315:QBK524315 QLF524315:QLG524315 QVB524315:QVC524315 REX524315:REY524315 ROT524315:ROU524315 RYP524315:RYQ524315 SIL524315:SIM524315 SSH524315:SSI524315 TCD524315:TCE524315 TLZ524315:TMA524315 TVV524315:TVW524315 UFR524315:UFS524315 UPN524315:UPO524315 UZJ524315:UZK524315 VJF524315:VJG524315 VTB524315:VTC524315 WCX524315:WCY524315 WMT524315:WMU524315 WWP524315:WWQ524315 AH589851:AI589851 KD589851:KE589851 TZ589851:UA589851 ADV589851:ADW589851 ANR589851:ANS589851 AXN589851:AXO589851 BHJ589851:BHK589851 BRF589851:BRG589851 CBB589851:CBC589851 CKX589851:CKY589851 CUT589851:CUU589851 DEP589851:DEQ589851 DOL589851:DOM589851 DYH589851:DYI589851 EID589851:EIE589851 ERZ589851:ESA589851 FBV589851:FBW589851 FLR589851:FLS589851 FVN589851:FVO589851 GFJ589851:GFK589851 GPF589851:GPG589851 GZB589851:GZC589851 HIX589851:HIY589851 HST589851:HSU589851 ICP589851:ICQ589851 IML589851:IMM589851 IWH589851:IWI589851 JGD589851:JGE589851 JPZ589851:JQA589851 JZV589851:JZW589851 KJR589851:KJS589851 KTN589851:KTO589851 LDJ589851:LDK589851 LNF589851:LNG589851 LXB589851:LXC589851 MGX589851:MGY589851 MQT589851:MQU589851 NAP589851:NAQ589851 NKL589851:NKM589851 NUH589851:NUI589851 OED589851:OEE589851 ONZ589851:OOA589851 OXV589851:OXW589851 PHR589851:PHS589851 PRN589851:PRO589851 QBJ589851:QBK589851 QLF589851:QLG589851 QVB589851:QVC589851 REX589851:REY589851 ROT589851:ROU589851 RYP589851:RYQ589851 SIL589851:SIM589851 SSH589851:SSI589851 TCD589851:TCE589851 TLZ589851:TMA589851 TVV589851:TVW589851 UFR589851:UFS589851 UPN589851:UPO589851 UZJ589851:UZK589851 VJF589851:VJG589851 VTB589851:VTC589851 WCX589851:WCY589851 WMT589851:WMU589851 WWP589851:WWQ589851 AH655387:AI655387 KD655387:KE655387 TZ655387:UA655387 ADV655387:ADW655387 ANR655387:ANS655387 AXN655387:AXO655387 BHJ655387:BHK655387 BRF655387:BRG655387 CBB655387:CBC655387 CKX655387:CKY655387 CUT655387:CUU655387 DEP655387:DEQ655387 DOL655387:DOM655387 DYH655387:DYI655387 EID655387:EIE655387 ERZ655387:ESA655387 FBV655387:FBW655387 FLR655387:FLS655387 FVN655387:FVO655387 GFJ655387:GFK655387 GPF655387:GPG655387 GZB655387:GZC655387 HIX655387:HIY655387 HST655387:HSU655387 ICP655387:ICQ655387 IML655387:IMM655387 IWH655387:IWI655387 JGD655387:JGE655387 JPZ655387:JQA655387 JZV655387:JZW655387 KJR655387:KJS655387 KTN655387:KTO655387 LDJ655387:LDK655387 LNF655387:LNG655387 LXB655387:LXC655387 MGX655387:MGY655387 MQT655387:MQU655387 NAP655387:NAQ655387 NKL655387:NKM655387 NUH655387:NUI655387 OED655387:OEE655387 ONZ655387:OOA655387 OXV655387:OXW655387 PHR655387:PHS655387 PRN655387:PRO655387 QBJ655387:QBK655387 QLF655387:QLG655387 QVB655387:QVC655387 REX655387:REY655387 ROT655387:ROU655387 RYP655387:RYQ655387 SIL655387:SIM655387 SSH655387:SSI655387 TCD655387:TCE655387 TLZ655387:TMA655387 TVV655387:TVW655387 UFR655387:UFS655387 UPN655387:UPO655387 UZJ655387:UZK655387 VJF655387:VJG655387 VTB655387:VTC655387 WCX655387:WCY655387 WMT655387:WMU655387 WWP655387:WWQ655387 AH720923:AI720923 KD720923:KE720923 TZ720923:UA720923 ADV720923:ADW720923 ANR720923:ANS720923 AXN720923:AXO720923 BHJ720923:BHK720923 BRF720923:BRG720923 CBB720923:CBC720923 CKX720923:CKY720923 CUT720923:CUU720923 DEP720923:DEQ720923 DOL720923:DOM720923 DYH720923:DYI720923 EID720923:EIE720923 ERZ720923:ESA720923 FBV720923:FBW720923 FLR720923:FLS720923 FVN720923:FVO720923 GFJ720923:GFK720923 GPF720923:GPG720923 GZB720923:GZC720923 HIX720923:HIY720923 HST720923:HSU720923 ICP720923:ICQ720923 IML720923:IMM720923 IWH720923:IWI720923 JGD720923:JGE720923 JPZ720923:JQA720923 JZV720923:JZW720923 KJR720923:KJS720923 KTN720923:KTO720923 LDJ720923:LDK720923 LNF720923:LNG720923 LXB720923:LXC720923 MGX720923:MGY720923 MQT720923:MQU720923 NAP720923:NAQ720923 NKL720923:NKM720923 NUH720923:NUI720923 OED720923:OEE720923 ONZ720923:OOA720923 OXV720923:OXW720923 PHR720923:PHS720923 PRN720923:PRO720923 QBJ720923:QBK720923 QLF720923:QLG720923 QVB720923:QVC720923 REX720923:REY720923 ROT720923:ROU720923 RYP720923:RYQ720923 SIL720923:SIM720923 SSH720923:SSI720923 TCD720923:TCE720923 TLZ720923:TMA720923 TVV720923:TVW720923 UFR720923:UFS720923 UPN720923:UPO720923 UZJ720923:UZK720923 VJF720923:VJG720923 VTB720923:VTC720923 WCX720923:WCY720923 WMT720923:WMU720923 WWP720923:WWQ720923 AH786459:AI786459 KD786459:KE786459 TZ786459:UA786459 ADV786459:ADW786459 ANR786459:ANS786459 AXN786459:AXO786459 BHJ786459:BHK786459 BRF786459:BRG786459 CBB786459:CBC786459 CKX786459:CKY786459 CUT786459:CUU786459 DEP786459:DEQ786459 DOL786459:DOM786459 DYH786459:DYI786459 EID786459:EIE786459 ERZ786459:ESA786459 FBV786459:FBW786459 FLR786459:FLS786459 FVN786459:FVO786459 GFJ786459:GFK786459 GPF786459:GPG786459 GZB786459:GZC786459 HIX786459:HIY786459 HST786459:HSU786459 ICP786459:ICQ786459 IML786459:IMM786459 IWH786459:IWI786459 JGD786459:JGE786459 JPZ786459:JQA786459 JZV786459:JZW786459 KJR786459:KJS786459 KTN786459:KTO786459 LDJ786459:LDK786459 LNF786459:LNG786459 LXB786459:LXC786459 MGX786459:MGY786459 MQT786459:MQU786459 NAP786459:NAQ786459 NKL786459:NKM786459 NUH786459:NUI786459 OED786459:OEE786459 ONZ786459:OOA786459 OXV786459:OXW786459 PHR786459:PHS786459 PRN786459:PRO786459 QBJ786459:QBK786459 QLF786459:QLG786459 QVB786459:QVC786459 REX786459:REY786459 ROT786459:ROU786459 RYP786459:RYQ786459 SIL786459:SIM786459 SSH786459:SSI786459 TCD786459:TCE786459 TLZ786459:TMA786459 TVV786459:TVW786459 UFR786459:UFS786459 UPN786459:UPO786459 UZJ786459:UZK786459 VJF786459:VJG786459 VTB786459:VTC786459 WCX786459:WCY786459 WMT786459:WMU786459 WWP786459:WWQ786459 AH851995:AI851995 KD851995:KE851995 TZ851995:UA851995 ADV851995:ADW851995 ANR851995:ANS851995 AXN851995:AXO851995 BHJ851995:BHK851995 BRF851995:BRG851995 CBB851995:CBC851995 CKX851995:CKY851995 CUT851995:CUU851995 DEP851995:DEQ851995 DOL851995:DOM851995 DYH851995:DYI851995 EID851995:EIE851995 ERZ851995:ESA851995 FBV851995:FBW851995 FLR851995:FLS851995 FVN851995:FVO851995 GFJ851995:GFK851995 GPF851995:GPG851995 GZB851995:GZC851995 HIX851995:HIY851995 HST851995:HSU851995 ICP851995:ICQ851995 IML851995:IMM851995 IWH851995:IWI851995 JGD851995:JGE851995 JPZ851995:JQA851995 JZV851995:JZW851995 KJR851995:KJS851995 KTN851995:KTO851995 LDJ851995:LDK851995 LNF851995:LNG851995 LXB851995:LXC851995 MGX851995:MGY851995 MQT851995:MQU851995 NAP851995:NAQ851995 NKL851995:NKM851995 NUH851995:NUI851995 OED851995:OEE851995 ONZ851995:OOA851995 OXV851995:OXW851995 PHR851995:PHS851995 PRN851995:PRO851995 QBJ851995:QBK851995 QLF851995:QLG851995 QVB851995:QVC851995 REX851995:REY851995 ROT851995:ROU851995 RYP851995:RYQ851995 SIL851995:SIM851995 SSH851995:SSI851995 TCD851995:TCE851995 TLZ851995:TMA851995 TVV851995:TVW851995 UFR851995:UFS851995 UPN851995:UPO851995 UZJ851995:UZK851995 VJF851995:VJG851995 VTB851995:VTC851995 WCX851995:WCY851995 WMT851995:WMU851995 WWP851995:WWQ851995 AH917531:AI917531 KD917531:KE917531 TZ917531:UA917531 ADV917531:ADW917531 ANR917531:ANS917531 AXN917531:AXO917531 BHJ917531:BHK917531 BRF917531:BRG917531 CBB917531:CBC917531 CKX917531:CKY917531 CUT917531:CUU917531 DEP917531:DEQ917531 DOL917531:DOM917531 DYH917531:DYI917531 EID917531:EIE917531 ERZ917531:ESA917531 FBV917531:FBW917531 FLR917531:FLS917531 FVN917531:FVO917531 GFJ917531:GFK917531 GPF917531:GPG917531 GZB917531:GZC917531 HIX917531:HIY917531 HST917531:HSU917531 ICP917531:ICQ917531 IML917531:IMM917531 IWH917531:IWI917531 JGD917531:JGE917531 JPZ917531:JQA917531 JZV917531:JZW917531 KJR917531:KJS917531 KTN917531:KTO917531 LDJ917531:LDK917531 LNF917531:LNG917531 LXB917531:LXC917531 MGX917531:MGY917531 MQT917531:MQU917531 NAP917531:NAQ917531 NKL917531:NKM917531 NUH917531:NUI917531 OED917531:OEE917531 ONZ917531:OOA917531 OXV917531:OXW917531 PHR917531:PHS917531 PRN917531:PRO917531 QBJ917531:QBK917531 QLF917531:QLG917531 QVB917531:QVC917531 REX917531:REY917531 ROT917531:ROU917531 RYP917531:RYQ917531 SIL917531:SIM917531 SSH917531:SSI917531 TCD917531:TCE917531 TLZ917531:TMA917531 TVV917531:TVW917531 UFR917531:UFS917531 UPN917531:UPO917531 UZJ917531:UZK917531 VJF917531:VJG917531 VTB917531:VTC917531 WCX917531:WCY917531 WMT917531:WMU917531 WWP917531:WWQ917531 AH983067:AI983067 KD983067:KE983067 TZ983067:UA983067 ADV983067:ADW983067 ANR983067:ANS983067 AXN983067:AXO983067 BHJ983067:BHK983067 BRF983067:BRG983067 CBB983067:CBC983067 CKX983067:CKY983067 CUT983067:CUU983067 DEP983067:DEQ983067 DOL983067:DOM983067 DYH983067:DYI983067 EID983067:EIE983067 ERZ983067:ESA983067 FBV983067:FBW983067 FLR983067:FLS983067 FVN983067:FVO983067 GFJ983067:GFK983067 GPF983067:GPG983067 GZB983067:GZC983067 HIX983067:HIY983067 HST983067:HSU983067 ICP983067:ICQ983067 IML983067:IMM983067 IWH983067:IWI983067 JGD983067:JGE983067 JPZ983067:JQA983067 JZV983067:JZW983067 KJR983067:KJS983067 KTN983067:KTO983067 LDJ983067:LDK983067 LNF983067:LNG983067 LXB983067:LXC983067 MGX983067:MGY983067 MQT983067:MQU983067 NAP983067:NAQ983067 NKL983067:NKM983067 NUH983067:NUI983067 OED983067:OEE983067 ONZ983067:OOA983067 OXV983067:OXW983067 PHR983067:PHS983067 PRN983067:PRO983067 QBJ983067:QBK983067 QLF983067:QLG983067 QVB983067:QVC983067 REX983067:REY983067 ROT983067:ROU983067 RYP983067:RYQ983067 SIL983067:SIM983067 SSH983067:SSI983067 TCD983067:TCE983067 TLZ983067:TMA983067 TVV983067:TVW983067 UFR983067:UFS983067 UPN983067:UPO983067 UZJ983067:UZK983067 VJF983067:VJG983067 VTB983067:VTC983067 WCX983067:WCY983067 WMT983067:WMU983067 WWP983067:WWQ983067">
      <formula1>$AH$18:$AH$19</formula1>
    </dataValidation>
    <dataValidation type="list" allowBlank="1" showInputMessage="1" showErrorMessage="1" sqref="AH25:AI25 KD25:KE25 TZ25:UA25 ADV25:ADW25 ANR25:ANS25 AXN25:AXO25 BHJ25:BHK25 BRF25:BRG25 CBB25:CBC25 CKX25:CKY25 CUT25:CUU25 DEP25:DEQ25 DOL25:DOM25 DYH25:DYI25 EID25:EIE25 ERZ25:ESA25 FBV25:FBW25 FLR25:FLS25 FVN25:FVO25 GFJ25:GFK25 GPF25:GPG25 GZB25:GZC25 HIX25:HIY25 HST25:HSU25 ICP25:ICQ25 IML25:IMM25 IWH25:IWI25 JGD25:JGE25 JPZ25:JQA25 JZV25:JZW25 KJR25:KJS25 KTN25:KTO25 LDJ25:LDK25 LNF25:LNG25 LXB25:LXC25 MGX25:MGY25 MQT25:MQU25 NAP25:NAQ25 NKL25:NKM25 NUH25:NUI25 OED25:OEE25 ONZ25:OOA25 OXV25:OXW25 PHR25:PHS25 PRN25:PRO25 QBJ25:QBK25 QLF25:QLG25 QVB25:QVC25 REX25:REY25 ROT25:ROU25 RYP25:RYQ25 SIL25:SIM25 SSH25:SSI25 TCD25:TCE25 TLZ25:TMA25 TVV25:TVW25 UFR25:UFS25 UPN25:UPO25 UZJ25:UZK25 VJF25:VJG25 VTB25:VTC25 WCX25:WCY25 WMT25:WMU25 WWP25:WWQ25 AH65561:AI65561 KD65561:KE65561 TZ65561:UA65561 ADV65561:ADW65561 ANR65561:ANS65561 AXN65561:AXO65561 BHJ65561:BHK65561 BRF65561:BRG65561 CBB65561:CBC65561 CKX65561:CKY65561 CUT65561:CUU65561 DEP65561:DEQ65561 DOL65561:DOM65561 DYH65561:DYI65561 EID65561:EIE65561 ERZ65561:ESA65561 FBV65561:FBW65561 FLR65561:FLS65561 FVN65561:FVO65561 GFJ65561:GFK65561 GPF65561:GPG65561 GZB65561:GZC65561 HIX65561:HIY65561 HST65561:HSU65561 ICP65561:ICQ65561 IML65561:IMM65561 IWH65561:IWI65561 JGD65561:JGE65561 JPZ65561:JQA65561 JZV65561:JZW65561 KJR65561:KJS65561 KTN65561:KTO65561 LDJ65561:LDK65561 LNF65561:LNG65561 LXB65561:LXC65561 MGX65561:MGY65561 MQT65561:MQU65561 NAP65561:NAQ65561 NKL65561:NKM65561 NUH65561:NUI65561 OED65561:OEE65561 ONZ65561:OOA65561 OXV65561:OXW65561 PHR65561:PHS65561 PRN65561:PRO65561 QBJ65561:QBK65561 QLF65561:QLG65561 QVB65561:QVC65561 REX65561:REY65561 ROT65561:ROU65561 RYP65561:RYQ65561 SIL65561:SIM65561 SSH65561:SSI65561 TCD65561:TCE65561 TLZ65561:TMA65561 TVV65561:TVW65561 UFR65561:UFS65561 UPN65561:UPO65561 UZJ65561:UZK65561 VJF65561:VJG65561 VTB65561:VTC65561 WCX65561:WCY65561 WMT65561:WMU65561 WWP65561:WWQ65561 AH131097:AI131097 KD131097:KE131097 TZ131097:UA131097 ADV131097:ADW131097 ANR131097:ANS131097 AXN131097:AXO131097 BHJ131097:BHK131097 BRF131097:BRG131097 CBB131097:CBC131097 CKX131097:CKY131097 CUT131097:CUU131097 DEP131097:DEQ131097 DOL131097:DOM131097 DYH131097:DYI131097 EID131097:EIE131097 ERZ131097:ESA131097 FBV131097:FBW131097 FLR131097:FLS131097 FVN131097:FVO131097 GFJ131097:GFK131097 GPF131097:GPG131097 GZB131097:GZC131097 HIX131097:HIY131097 HST131097:HSU131097 ICP131097:ICQ131097 IML131097:IMM131097 IWH131097:IWI131097 JGD131097:JGE131097 JPZ131097:JQA131097 JZV131097:JZW131097 KJR131097:KJS131097 KTN131097:KTO131097 LDJ131097:LDK131097 LNF131097:LNG131097 LXB131097:LXC131097 MGX131097:MGY131097 MQT131097:MQU131097 NAP131097:NAQ131097 NKL131097:NKM131097 NUH131097:NUI131097 OED131097:OEE131097 ONZ131097:OOA131097 OXV131097:OXW131097 PHR131097:PHS131097 PRN131097:PRO131097 QBJ131097:QBK131097 QLF131097:QLG131097 QVB131097:QVC131097 REX131097:REY131097 ROT131097:ROU131097 RYP131097:RYQ131097 SIL131097:SIM131097 SSH131097:SSI131097 TCD131097:TCE131097 TLZ131097:TMA131097 TVV131097:TVW131097 UFR131097:UFS131097 UPN131097:UPO131097 UZJ131097:UZK131097 VJF131097:VJG131097 VTB131097:VTC131097 WCX131097:WCY131097 WMT131097:WMU131097 WWP131097:WWQ131097 AH196633:AI196633 KD196633:KE196633 TZ196633:UA196633 ADV196633:ADW196633 ANR196633:ANS196633 AXN196633:AXO196633 BHJ196633:BHK196633 BRF196633:BRG196633 CBB196633:CBC196633 CKX196633:CKY196633 CUT196633:CUU196633 DEP196633:DEQ196633 DOL196633:DOM196633 DYH196633:DYI196633 EID196633:EIE196633 ERZ196633:ESA196633 FBV196633:FBW196633 FLR196633:FLS196633 FVN196633:FVO196633 GFJ196633:GFK196633 GPF196633:GPG196633 GZB196633:GZC196633 HIX196633:HIY196633 HST196633:HSU196633 ICP196633:ICQ196633 IML196633:IMM196633 IWH196633:IWI196633 JGD196633:JGE196633 JPZ196633:JQA196633 JZV196633:JZW196633 KJR196633:KJS196633 KTN196633:KTO196633 LDJ196633:LDK196633 LNF196633:LNG196633 LXB196633:LXC196633 MGX196633:MGY196633 MQT196633:MQU196633 NAP196633:NAQ196633 NKL196633:NKM196633 NUH196633:NUI196633 OED196633:OEE196633 ONZ196633:OOA196633 OXV196633:OXW196633 PHR196633:PHS196633 PRN196633:PRO196633 QBJ196633:QBK196633 QLF196633:QLG196633 QVB196633:QVC196633 REX196633:REY196633 ROT196633:ROU196633 RYP196633:RYQ196633 SIL196633:SIM196633 SSH196633:SSI196633 TCD196633:TCE196633 TLZ196633:TMA196633 TVV196633:TVW196633 UFR196633:UFS196633 UPN196633:UPO196633 UZJ196633:UZK196633 VJF196633:VJG196633 VTB196633:VTC196633 WCX196633:WCY196633 WMT196633:WMU196633 WWP196633:WWQ196633 AH262169:AI262169 KD262169:KE262169 TZ262169:UA262169 ADV262169:ADW262169 ANR262169:ANS262169 AXN262169:AXO262169 BHJ262169:BHK262169 BRF262169:BRG262169 CBB262169:CBC262169 CKX262169:CKY262169 CUT262169:CUU262169 DEP262169:DEQ262169 DOL262169:DOM262169 DYH262169:DYI262169 EID262169:EIE262169 ERZ262169:ESA262169 FBV262169:FBW262169 FLR262169:FLS262169 FVN262169:FVO262169 GFJ262169:GFK262169 GPF262169:GPG262169 GZB262169:GZC262169 HIX262169:HIY262169 HST262169:HSU262169 ICP262169:ICQ262169 IML262169:IMM262169 IWH262169:IWI262169 JGD262169:JGE262169 JPZ262169:JQA262169 JZV262169:JZW262169 KJR262169:KJS262169 KTN262169:KTO262169 LDJ262169:LDK262169 LNF262169:LNG262169 LXB262169:LXC262169 MGX262169:MGY262169 MQT262169:MQU262169 NAP262169:NAQ262169 NKL262169:NKM262169 NUH262169:NUI262169 OED262169:OEE262169 ONZ262169:OOA262169 OXV262169:OXW262169 PHR262169:PHS262169 PRN262169:PRO262169 QBJ262169:QBK262169 QLF262169:QLG262169 QVB262169:QVC262169 REX262169:REY262169 ROT262169:ROU262169 RYP262169:RYQ262169 SIL262169:SIM262169 SSH262169:SSI262169 TCD262169:TCE262169 TLZ262169:TMA262169 TVV262169:TVW262169 UFR262169:UFS262169 UPN262169:UPO262169 UZJ262169:UZK262169 VJF262169:VJG262169 VTB262169:VTC262169 WCX262169:WCY262169 WMT262169:WMU262169 WWP262169:WWQ262169 AH327705:AI327705 KD327705:KE327705 TZ327705:UA327705 ADV327705:ADW327705 ANR327705:ANS327705 AXN327705:AXO327705 BHJ327705:BHK327705 BRF327705:BRG327705 CBB327705:CBC327705 CKX327705:CKY327705 CUT327705:CUU327705 DEP327705:DEQ327705 DOL327705:DOM327705 DYH327705:DYI327705 EID327705:EIE327705 ERZ327705:ESA327705 FBV327705:FBW327705 FLR327705:FLS327705 FVN327705:FVO327705 GFJ327705:GFK327705 GPF327705:GPG327705 GZB327705:GZC327705 HIX327705:HIY327705 HST327705:HSU327705 ICP327705:ICQ327705 IML327705:IMM327705 IWH327705:IWI327705 JGD327705:JGE327705 JPZ327705:JQA327705 JZV327705:JZW327705 KJR327705:KJS327705 KTN327705:KTO327705 LDJ327705:LDK327705 LNF327705:LNG327705 LXB327705:LXC327705 MGX327705:MGY327705 MQT327705:MQU327705 NAP327705:NAQ327705 NKL327705:NKM327705 NUH327705:NUI327705 OED327705:OEE327705 ONZ327705:OOA327705 OXV327705:OXW327705 PHR327705:PHS327705 PRN327705:PRO327705 QBJ327705:QBK327705 QLF327705:QLG327705 QVB327705:QVC327705 REX327705:REY327705 ROT327705:ROU327705 RYP327705:RYQ327705 SIL327705:SIM327705 SSH327705:SSI327705 TCD327705:TCE327705 TLZ327705:TMA327705 TVV327705:TVW327705 UFR327705:UFS327705 UPN327705:UPO327705 UZJ327705:UZK327705 VJF327705:VJG327705 VTB327705:VTC327705 WCX327705:WCY327705 WMT327705:WMU327705 WWP327705:WWQ327705 AH393241:AI393241 KD393241:KE393241 TZ393241:UA393241 ADV393241:ADW393241 ANR393241:ANS393241 AXN393241:AXO393241 BHJ393241:BHK393241 BRF393241:BRG393241 CBB393241:CBC393241 CKX393241:CKY393241 CUT393241:CUU393241 DEP393241:DEQ393241 DOL393241:DOM393241 DYH393241:DYI393241 EID393241:EIE393241 ERZ393241:ESA393241 FBV393241:FBW393241 FLR393241:FLS393241 FVN393241:FVO393241 GFJ393241:GFK393241 GPF393241:GPG393241 GZB393241:GZC393241 HIX393241:HIY393241 HST393241:HSU393241 ICP393241:ICQ393241 IML393241:IMM393241 IWH393241:IWI393241 JGD393241:JGE393241 JPZ393241:JQA393241 JZV393241:JZW393241 KJR393241:KJS393241 KTN393241:KTO393241 LDJ393241:LDK393241 LNF393241:LNG393241 LXB393241:LXC393241 MGX393241:MGY393241 MQT393241:MQU393241 NAP393241:NAQ393241 NKL393241:NKM393241 NUH393241:NUI393241 OED393241:OEE393241 ONZ393241:OOA393241 OXV393241:OXW393241 PHR393241:PHS393241 PRN393241:PRO393241 QBJ393241:QBK393241 QLF393241:QLG393241 QVB393241:QVC393241 REX393241:REY393241 ROT393241:ROU393241 RYP393241:RYQ393241 SIL393241:SIM393241 SSH393241:SSI393241 TCD393241:TCE393241 TLZ393241:TMA393241 TVV393241:TVW393241 UFR393241:UFS393241 UPN393241:UPO393241 UZJ393241:UZK393241 VJF393241:VJG393241 VTB393241:VTC393241 WCX393241:WCY393241 WMT393241:WMU393241 WWP393241:WWQ393241 AH458777:AI458777 KD458777:KE458777 TZ458777:UA458777 ADV458777:ADW458777 ANR458777:ANS458777 AXN458777:AXO458777 BHJ458777:BHK458777 BRF458777:BRG458777 CBB458777:CBC458777 CKX458777:CKY458777 CUT458777:CUU458777 DEP458777:DEQ458777 DOL458777:DOM458777 DYH458777:DYI458777 EID458777:EIE458777 ERZ458777:ESA458777 FBV458777:FBW458777 FLR458777:FLS458777 FVN458777:FVO458777 GFJ458777:GFK458777 GPF458777:GPG458777 GZB458777:GZC458777 HIX458777:HIY458777 HST458777:HSU458777 ICP458777:ICQ458777 IML458777:IMM458777 IWH458777:IWI458777 JGD458777:JGE458777 JPZ458777:JQA458777 JZV458777:JZW458777 KJR458777:KJS458777 KTN458777:KTO458777 LDJ458777:LDK458777 LNF458777:LNG458777 LXB458777:LXC458777 MGX458777:MGY458777 MQT458777:MQU458777 NAP458777:NAQ458777 NKL458777:NKM458777 NUH458777:NUI458777 OED458777:OEE458777 ONZ458777:OOA458777 OXV458777:OXW458777 PHR458777:PHS458777 PRN458777:PRO458777 QBJ458777:QBK458777 QLF458777:QLG458777 QVB458777:QVC458777 REX458777:REY458777 ROT458777:ROU458777 RYP458777:RYQ458777 SIL458777:SIM458777 SSH458777:SSI458777 TCD458777:TCE458777 TLZ458777:TMA458777 TVV458777:TVW458777 UFR458777:UFS458777 UPN458777:UPO458777 UZJ458777:UZK458777 VJF458777:VJG458777 VTB458777:VTC458777 WCX458777:WCY458777 WMT458777:WMU458777 WWP458777:WWQ458777 AH524313:AI524313 KD524313:KE524313 TZ524313:UA524313 ADV524313:ADW524313 ANR524313:ANS524313 AXN524313:AXO524313 BHJ524313:BHK524313 BRF524313:BRG524313 CBB524313:CBC524313 CKX524313:CKY524313 CUT524313:CUU524313 DEP524313:DEQ524313 DOL524313:DOM524313 DYH524313:DYI524313 EID524313:EIE524313 ERZ524313:ESA524313 FBV524313:FBW524313 FLR524313:FLS524313 FVN524313:FVO524313 GFJ524313:GFK524313 GPF524313:GPG524313 GZB524313:GZC524313 HIX524313:HIY524313 HST524313:HSU524313 ICP524313:ICQ524313 IML524313:IMM524313 IWH524313:IWI524313 JGD524313:JGE524313 JPZ524313:JQA524313 JZV524313:JZW524313 KJR524313:KJS524313 KTN524313:KTO524313 LDJ524313:LDK524313 LNF524313:LNG524313 LXB524313:LXC524313 MGX524313:MGY524313 MQT524313:MQU524313 NAP524313:NAQ524313 NKL524313:NKM524313 NUH524313:NUI524313 OED524313:OEE524313 ONZ524313:OOA524313 OXV524313:OXW524313 PHR524313:PHS524313 PRN524313:PRO524313 QBJ524313:QBK524313 QLF524313:QLG524313 QVB524313:QVC524313 REX524313:REY524313 ROT524313:ROU524313 RYP524313:RYQ524313 SIL524313:SIM524313 SSH524313:SSI524313 TCD524313:TCE524313 TLZ524313:TMA524313 TVV524313:TVW524313 UFR524313:UFS524313 UPN524313:UPO524313 UZJ524313:UZK524313 VJF524313:VJG524313 VTB524313:VTC524313 WCX524313:WCY524313 WMT524313:WMU524313 WWP524313:WWQ524313 AH589849:AI589849 KD589849:KE589849 TZ589849:UA589849 ADV589849:ADW589849 ANR589849:ANS589849 AXN589849:AXO589849 BHJ589849:BHK589849 BRF589849:BRG589849 CBB589849:CBC589849 CKX589849:CKY589849 CUT589849:CUU589849 DEP589849:DEQ589849 DOL589849:DOM589849 DYH589849:DYI589849 EID589849:EIE589849 ERZ589849:ESA589849 FBV589849:FBW589849 FLR589849:FLS589849 FVN589849:FVO589849 GFJ589849:GFK589849 GPF589849:GPG589849 GZB589849:GZC589849 HIX589849:HIY589849 HST589849:HSU589849 ICP589849:ICQ589849 IML589849:IMM589849 IWH589849:IWI589849 JGD589849:JGE589849 JPZ589849:JQA589849 JZV589849:JZW589849 KJR589849:KJS589849 KTN589849:KTO589849 LDJ589849:LDK589849 LNF589849:LNG589849 LXB589849:LXC589849 MGX589849:MGY589849 MQT589849:MQU589849 NAP589849:NAQ589849 NKL589849:NKM589849 NUH589849:NUI589849 OED589849:OEE589849 ONZ589849:OOA589849 OXV589849:OXW589849 PHR589849:PHS589849 PRN589849:PRO589849 QBJ589849:QBK589849 QLF589849:QLG589849 QVB589849:QVC589849 REX589849:REY589849 ROT589849:ROU589849 RYP589849:RYQ589849 SIL589849:SIM589849 SSH589849:SSI589849 TCD589849:TCE589849 TLZ589849:TMA589849 TVV589849:TVW589849 UFR589849:UFS589849 UPN589849:UPO589849 UZJ589849:UZK589849 VJF589849:VJG589849 VTB589849:VTC589849 WCX589849:WCY589849 WMT589849:WMU589849 WWP589849:WWQ589849 AH655385:AI655385 KD655385:KE655385 TZ655385:UA655385 ADV655385:ADW655385 ANR655385:ANS655385 AXN655385:AXO655385 BHJ655385:BHK655385 BRF655385:BRG655385 CBB655385:CBC655385 CKX655385:CKY655385 CUT655385:CUU655385 DEP655385:DEQ655385 DOL655385:DOM655385 DYH655385:DYI655385 EID655385:EIE655385 ERZ655385:ESA655385 FBV655385:FBW655385 FLR655385:FLS655385 FVN655385:FVO655385 GFJ655385:GFK655385 GPF655385:GPG655385 GZB655385:GZC655385 HIX655385:HIY655385 HST655385:HSU655385 ICP655385:ICQ655385 IML655385:IMM655385 IWH655385:IWI655385 JGD655385:JGE655385 JPZ655385:JQA655385 JZV655385:JZW655385 KJR655385:KJS655385 KTN655385:KTO655385 LDJ655385:LDK655385 LNF655385:LNG655385 LXB655385:LXC655385 MGX655385:MGY655385 MQT655385:MQU655385 NAP655385:NAQ655385 NKL655385:NKM655385 NUH655385:NUI655385 OED655385:OEE655385 ONZ655385:OOA655385 OXV655385:OXW655385 PHR655385:PHS655385 PRN655385:PRO655385 QBJ655385:QBK655385 QLF655385:QLG655385 QVB655385:QVC655385 REX655385:REY655385 ROT655385:ROU655385 RYP655385:RYQ655385 SIL655385:SIM655385 SSH655385:SSI655385 TCD655385:TCE655385 TLZ655385:TMA655385 TVV655385:TVW655385 UFR655385:UFS655385 UPN655385:UPO655385 UZJ655385:UZK655385 VJF655385:VJG655385 VTB655385:VTC655385 WCX655385:WCY655385 WMT655385:WMU655385 WWP655385:WWQ655385 AH720921:AI720921 KD720921:KE720921 TZ720921:UA720921 ADV720921:ADW720921 ANR720921:ANS720921 AXN720921:AXO720921 BHJ720921:BHK720921 BRF720921:BRG720921 CBB720921:CBC720921 CKX720921:CKY720921 CUT720921:CUU720921 DEP720921:DEQ720921 DOL720921:DOM720921 DYH720921:DYI720921 EID720921:EIE720921 ERZ720921:ESA720921 FBV720921:FBW720921 FLR720921:FLS720921 FVN720921:FVO720921 GFJ720921:GFK720921 GPF720921:GPG720921 GZB720921:GZC720921 HIX720921:HIY720921 HST720921:HSU720921 ICP720921:ICQ720921 IML720921:IMM720921 IWH720921:IWI720921 JGD720921:JGE720921 JPZ720921:JQA720921 JZV720921:JZW720921 KJR720921:KJS720921 KTN720921:KTO720921 LDJ720921:LDK720921 LNF720921:LNG720921 LXB720921:LXC720921 MGX720921:MGY720921 MQT720921:MQU720921 NAP720921:NAQ720921 NKL720921:NKM720921 NUH720921:NUI720921 OED720921:OEE720921 ONZ720921:OOA720921 OXV720921:OXW720921 PHR720921:PHS720921 PRN720921:PRO720921 QBJ720921:QBK720921 QLF720921:QLG720921 QVB720921:QVC720921 REX720921:REY720921 ROT720921:ROU720921 RYP720921:RYQ720921 SIL720921:SIM720921 SSH720921:SSI720921 TCD720921:TCE720921 TLZ720921:TMA720921 TVV720921:TVW720921 UFR720921:UFS720921 UPN720921:UPO720921 UZJ720921:UZK720921 VJF720921:VJG720921 VTB720921:VTC720921 WCX720921:WCY720921 WMT720921:WMU720921 WWP720921:WWQ720921 AH786457:AI786457 KD786457:KE786457 TZ786457:UA786457 ADV786457:ADW786457 ANR786457:ANS786457 AXN786457:AXO786457 BHJ786457:BHK786457 BRF786457:BRG786457 CBB786457:CBC786457 CKX786457:CKY786457 CUT786457:CUU786457 DEP786457:DEQ786457 DOL786457:DOM786457 DYH786457:DYI786457 EID786457:EIE786457 ERZ786457:ESA786457 FBV786457:FBW786457 FLR786457:FLS786457 FVN786457:FVO786457 GFJ786457:GFK786457 GPF786457:GPG786457 GZB786457:GZC786457 HIX786457:HIY786457 HST786457:HSU786457 ICP786457:ICQ786457 IML786457:IMM786457 IWH786457:IWI786457 JGD786457:JGE786457 JPZ786457:JQA786457 JZV786457:JZW786457 KJR786457:KJS786457 KTN786457:KTO786457 LDJ786457:LDK786457 LNF786457:LNG786457 LXB786457:LXC786457 MGX786457:MGY786457 MQT786457:MQU786457 NAP786457:NAQ786457 NKL786457:NKM786457 NUH786457:NUI786457 OED786457:OEE786457 ONZ786457:OOA786457 OXV786457:OXW786457 PHR786457:PHS786457 PRN786457:PRO786457 QBJ786457:QBK786457 QLF786457:QLG786457 QVB786457:QVC786457 REX786457:REY786457 ROT786457:ROU786457 RYP786457:RYQ786457 SIL786457:SIM786457 SSH786457:SSI786457 TCD786457:TCE786457 TLZ786457:TMA786457 TVV786457:TVW786457 UFR786457:UFS786457 UPN786457:UPO786457 UZJ786457:UZK786457 VJF786457:VJG786457 VTB786457:VTC786457 WCX786457:WCY786457 WMT786457:WMU786457 WWP786457:WWQ786457 AH851993:AI851993 KD851993:KE851993 TZ851993:UA851993 ADV851993:ADW851993 ANR851993:ANS851993 AXN851993:AXO851993 BHJ851993:BHK851993 BRF851993:BRG851993 CBB851993:CBC851993 CKX851993:CKY851993 CUT851993:CUU851993 DEP851993:DEQ851993 DOL851993:DOM851993 DYH851993:DYI851993 EID851993:EIE851993 ERZ851993:ESA851993 FBV851993:FBW851993 FLR851993:FLS851993 FVN851993:FVO851993 GFJ851993:GFK851993 GPF851993:GPG851993 GZB851993:GZC851993 HIX851993:HIY851993 HST851993:HSU851993 ICP851993:ICQ851993 IML851993:IMM851993 IWH851993:IWI851993 JGD851993:JGE851993 JPZ851993:JQA851993 JZV851993:JZW851993 KJR851993:KJS851993 KTN851993:KTO851993 LDJ851993:LDK851993 LNF851993:LNG851993 LXB851993:LXC851993 MGX851993:MGY851993 MQT851993:MQU851993 NAP851993:NAQ851993 NKL851993:NKM851993 NUH851993:NUI851993 OED851993:OEE851993 ONZ851993:OOA851993 OXV851993:OXW851993 PHR851993:PHS851993 PRN851993:PRO851993 QBJ851993:QBK851993 QLF851993:QLG851993 QVB851993:QVC851993 REX851993:REY851993 ROT851993:ROU851993 RYP851993:RYQ851993 SIL851993:SIM851993 SSH851993:SSI851993 TCD851993:TCE851993 TLZ851993:TMA851993 TVV851993:TVW851993 UFR851993:UFS851993 UPN851993:UPO851993 UZJ851993:UZK851993 VJF851993:VJG851993 VTB851993:VTC851993 WCX851993:WCY851993 WMT851993:WMU851993 WWP851993:WWQ851993 AH917529:AI917529 KD917529:KE917529 TZ917529:UA917529 ADV917529:ADW917529 ANR917529:ANS917529 AXN917529:AXO917529 BHJ917529:BHK917529 BRF917529:BRG917529 CBB917529:CBC917529 CKX917529:CKY917529 CUT917529:CUU917529 DEP917529:DEQ917529 DOL917529:DOM917529 DYH917529:DYI917529 EID917529:EIE917529 ERZ917529:ESA917529 FBV917529:FBW917529 FLR917529:FLS917529 FVN917529:FVO917529 GFJ917529:GFK917529 GPF917529:GPG917529 GZB917529:GZC917529 HIX917529:HIY917529 HST917529:HSU917529 ICP917529:ICQ917529 IML917529:IMM917529 IWH917529:IWI917529 JGD917529:JGE917529 JPZ917529:JQA917529 JZV917529:JZW917529 KJR917529:KJS917529 KTN917529:KTO917529 LDJ917529:LDK917529 LNF917529:LNG917529 LXB917529:LXC917529 MGX917529:MGY917529 MQT917529:MQU917529 NAP917529:NAQ917529 NKL917529:NKM917529 NUH917529:NUI917529 OED917529:OEE917529 ONZ917529:OOA917529 OXV917529:OXW917529 PHR917529:PHS917529 PRN917529:PRO917529 QBJ917529:QBK917529 QLF917529:QLG917529 QVB917529:QVC917529 REX917529:REY917529 ROT917529:ROU917529 RYP917529:RYQ917529 SIL917529:SIM917529 SSH917529:SSI917529 TCD917529:TCE917529 TLZ917529:TMA917529 TVV917529:TVW917529 UFR917529:UFS917529 UPN917529:UPO917529 UZJ917529:UZK917529 VJF917529:VJG917529 VTB917529:VTC917529 WCX917529:WCY917529 WMT917529:WMU917529 WWP917529:WWQ917529 AH983065:AI983065 KD983065:KE983065 TZ983065:UA983065 ADV983065:ADW983065 ANR983065:ANS983065 AXN983065:AXO983065 BHJ983065:BHK983065 BRF983065:BRG983065 CBB983065:CBC983065 CKX983065:CKY983065 CUT983065:CUU983065 DEP983065:DEQ983065 DOL983065:DOM983065 DYH983065:DYI983065 EID983065:EIE983065 ERZ983065:ESA983065 FBV983065:FBW983065 FLR983065:FLS983065 FVN983065:FVO983065 GFJ983065:GFK983065 GPF983065:GPG983065 GZB983065:GZC983065 HIX983065:HIY983065 HST983065:HSU983065 ICP983065:ICQ983065 IML983065:IMM983065 IWH983065:IWI983065 JGD983065:JGE983065 JPZ983065:JQA983065 JZV983065:JZW983065 KJR983065:KJS983065 KTN983065:KTO983065 LDJ983065:LDK983065 LNF983065:LNG983065 LXB983065:LXC983065 MGX983065:MGY983065 MQT983065:MQU983065 NAP983065:NAQ983065 NKL983065:NKM983065 NUH983065:NUI983065 OED983065:OEE983065 ONZ983065:OOA983065 OXV983065:OXW983065 PHR983065:PHS983065 PRN983065:PRO983065 QBJ983065:QBK983065 QLF983065:QLG983065 QVB983065:QVC983065 REX983065:REY983065 ROT983065:ROU983065 RYP983065:RYQ983065 SIL983065:SIM983065 SSH983065:SSI983065 TCD983065:TCE983065 TLZ983065:TMA983065 TVV983065:TVW983065 UFR983065:UFS983065 UPN983065:UPO983065 UZJ983065:UZK983065 VJF983065:VJG983065 VTB983065:VTC983065 WCX983065:WCY983065 WMT983065:WMU983065 WWP983065:WWQ983065">
      <formula1>$AH$15:$AH$16</formula1>
    </dataValidation>
    <dataValidation type="list" allowBlank="1" showInputMessage="1" showErrorMessage="1"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formula1>$AH$3:$AH$7</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ormula1>$AB$4:$AC$4</formula1>
    </dataValidation>
    <dataValidation type="list" allowBlank="1" showInputMessage="1" showErrorMessage="1" sqref="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formula1>$AG$11:$AG$13</formula1>
    </dataValidation>
    <dataValidation type="list"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$AG$3:$AG$9</formula1>
    </dataValidation>
    <dataValidation type="list" allowBlank="1" showInputMessage="1" showErrorMessage="1" 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formula1>$AF$3:$AF$8</formula1>
    </dataValidation>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$AE$3:$AE$11</formula1>
    </dataValidation>
    <dataValidation type="list" allowBlank="1" showInputMessage="1" showErrorMessage="1" sqref="C24:C26 IY24:IY26 SU24:SU26 ACQ24:ACQ26 AMM24:AMM26 AWI24:AWI26 BGE24:BGE26 BQA24:BQA26 BZW24:BZW26 CJS24:CJS26 CTO24:CTO26 DDK24:DDK26 DNG24:DNG26 DXC24:DXC26 EGY24:EGY26 EQU24:EQU26 FAQ24:FAQ26 FKM24:FKM26 FUI24:FUI26 GEE24:GEE26 GOA24:GOA26 GXW24:GXW26 HHS24:HHS26 HRO24:HRO26 IBK24:IBK26 ILG24:ILG26 IVC24:IVC26 JEY24:JEY26 JOU24:JOU26 JYQ24:JYQ26 KIM24:KIM26 KSI24:KSI26 LCE24:LCE26 LMA24:LMA26 LVW24:LVW26 MFS24:MFS26 MPO24:MPO26 MZK24:MZK26 NJG24:NJG26 NTC24:NTC26 OCY24:OCY26 OMU24:OMU26 OWQ24:OWQ26 PGM24:PGM26 PQI24:PQI26 QAE24:QAE26 QKA24:QKA26 QTW24:QTW26 RDS24:RDS26 RNO24:RNO26 RXK24:RXK26 SHG24:SHG26 SRC24:SRC26 TAY24:TAY26 TKU24:TKU26 TUQ24:TUQ26 UEM24:UEM26 UOI24:UOI26 UYE24:UYE26 VIA24:VIA26 VRW24:VRW26 WBS24:WBS26 WLO24:WLO26 WVK24:WVK26 C65560:C65562 IY65560:IY65562 SU65560:SU65562 ACQ65560:ACQ65562 AMM65560:AMM65562 AWI65560:AWI65562 BGE65560:BGE65562 BQA65560:BQA65562 BZW65560:BZW65562 CJS65560:CJS65562 CTO65560:CTO65562 DDK65560:DDK65562 DNG65560:DNG65562 DXC65560:DXC65562 EGY65560:EGY65562 EQU65560:EQU65562 FAQ65560:FAQ65562 FKM65560:FKM65562 FUI65560:FUI65562 GEE65560:GEE65562 GOA65560:GOA65562 GXW65560:GXW65562 HHS65560:HHS65562 HRO65560:HRO65562 IBK65560:IBK65562 ILG65560:ILG65562 IVC65560:IVC65562 JEY65560:JEY65562 JOU65560:JOU65562 JYQ65560:JYQ65562 KIM65560:KIM65562 KSI65560:KSI65562 LCE65560:LCE65562 LMA65560:LMA65562 LVW65560:LVW65562 MFS65560:MFS65562 MPO65560:MPO65562 MZK65560:MZK65562 NJG65560:NJG65562 NTC65560:NTC65562 OCY65560:OCY65562 OMU65560:OMU65562 OWQ65560:OWQ65562 PGM65560:PGM65562 PQI65560:PQI65562 QAE65560:QAE65562 QKA65560:QKA65562 QTW65560:QTW65562 RDS65560:RDS65562 RNO65560:RNO65562 RXK65560:RXK65562 SHG65560:SHG65562 SRC65560:SRC65562 TAY65560:TAY65562 TKU65560:TKU65562 TUQ65560:TUQ65562 UEM65560:UEM65562 UOI65560:UOI65562 UYE65560:UYE65562 VIA65560:VIA65562 VRW65560:VRW65562 WBS65560:WBS65562 WLO65560:WLO65562 WVK65560:WVK65562 C131096:C131098 IY131096:IY131098 SU131096:SU131098 ACQ131096:ACQ131098 AMM131096:AMM131098 AWI131096:AWI131098 BGE131096:BGE131098 BQA131096:BQA131098 BZW131096:BZW131098 CJS131096:CJS131098 CTO131096:CTO131098 DDK131096:DDK131098 DNG131096:DNG131098 DXC131096:DXC131098 EGY131096:EGY131098 EQU131096:EQU131098 FAQ131096:FAQ131098 FKM131096:FKM131098 FUI131096:FUI131098 GEE131096:GEE131098 GOA131096:GOA131098 GXW131096:GXW131098 HHS131096:HHS131098 HRO131096:HRO131098 IBK131096:IBK131098 ILG131096:ILG131098 IVC131096:IVC131098 JEY131096:JEY131098 JOU131096:JOU131098 JYQ131096:JYQ131098 KIM131096:KIM131098 KSI131096:KSI131098 LCE131096:LCE131098 LMA131096:LMA131098 LVW131096:LVW131098 MFS131096:MFS131098 MPO131096:MPO131098 MZK131096:MZK131098 NJG131096:NJG131098 NTC131096:NTC131098 OCY131096:OCY131098 OMU131096:OMU131098 OWQ131096:OWQ131098 PGM131096:PGM131098 PQI131096:PQI131098 QAE131096:QAE131098 QKA131096:QKA131098 QTW131096:QTW131098 RDS131096:RDS131098 RNO131096:RNO131098 RXK131096:RXK131098 SHG131096:SHG131098 SRC131096:SRC131098 TAY131096:TAY131098 TKU131096:TKU131098 TUQ131096:TUQ131098 UEM131096:UEM131098 UOI131096:UOI131098 UYE131096:UYE131098 VIA131096:VIA131098 VRW131096:VRW131098 WBS131096:WBS131098 WLO131096:WLO131098 WVK131096:WVK131098 C196632:C196634 IY196632:IY196634 SU196632:SU196634 ACQ196632:ACQ196634 AMM196632:AMM196634 AWI196632:AWI196634 BGE196632:BGE196634 BQA196632:BQA196634 BZW196632:BZW196634 CJS196632:CJS196634 CTO196632:CTO196634 DDK196632:DDK196634 DNG196632:DNG196634 DXC196632:DXC196634 EGY196632:EGY196634 EQU196632:EQU196634 FAQ196632:FAQ196634 FKM196632:FKM196634 FUI196632:FUI196634 GEE196632:GEE196634 GOA196632:GOA196634 GXW196632:GXW196634 HHS196632:HHS196634 HRO196632:HRO196634 IBK196632:IBK196634 ILG196632:ILG196634 IVC196632:IVC196634 JEY196632:JEY196634 JOU196632:JOU196634 JYQ196632:JYQ196634 KIM196632:KIM196634 KSI196632:KSI196634 LCE196632:LCE196634 LMA196632:LMA196634 LVW196632:LVW196634 MFS196632:MFS196634 MPO196632:MPO196634 MZK196632:MZK196634 NJG196632:NJG196634 NTC196632:NTC196634 OCY196632:OCY196634 OMU196632:OMU196634 OWQ196632:OWQ196634 PGM196632:PGM196634 PQI196632:PQI196634 QAE196632:QAE196634 QKA196632:QKA196634 QTW196632:QTW196634 RDS196632:RDS196634 RNO196632:RNO196634 RXK196632:RXK196634 SHG196632:SHG196634 SRC196632:SRC196634 TAY196632:TAY196634 TKU196632:TKU196634 TUQ196632:TUQ196634 UEM196632:UEM196634 UOI196632:UOI196634 UYE196632:UYE196634 VIA196632:VIA196634 VRW196632:VRW196634 WBS196632:WBS196634 WLO196632:WLO196634 WVK196632:WVK196634 C262168:C262170 IY262168:IY262170 SU262168:SU262170 ACQ262168:ACQ262170 AMM262168:AMM262170 AWI262168:AWI262170 BGE262168:BGE262170 BQA262168:BQA262170 BZW262168:BZW262170 CJS262168:CJS262170 CTO262168:CTO262170 DDK262168:DDK262170 DNG262168:DNG262170 DXC262168:DXC262170 EGY262168:EGY262170 EQU262168:EQU262170 FAQ262168:FAQ262170 FKM262168:FKM262170 FUI262168:FUI262170 GEE262168:GEE262170 GOA262168:GOA262170 GXW262168:GXW262170 HHS262168:HHS262170 HRO262168:HRO262170 IBK262168:IBK262170 ILG262168:ILG262170 IVC262168:IVC262170 JEY262168:JEY262170 JOU262168:JOU262170 JYQ262168:JYQ262170 KIM262168:KIM262170 KSI262168:KSI262170 LCE262168:LCE262170 LMA262168:LMA262170 LVW262168:LVW262170 MFS262168:MFS262170 MPO262168:MPO262170 MZK262168:MZK262170 NJG262168:NJG262170 NTC262168:NTC262170 OCY262168:OCY262170 OMU262168:OMU262170 OWQ262168:OWQ262170 PGM262168:PGM262170 PQI262168:PQI262170 QAE262168:QAE262170 QKA262168:QKA262170 QTW262168:QTW262170 RDS262168:RDS262170 RNO262168:RNO262170 RXK262168:RXK262170 SHG262168:SHG262170 SRC262168:SRC262170 TAY262168:TAY262170 TKU262168:TKU262170 TUQ262168:TUQ262170 UEM262168:UEM262170 UOI262168:UOI262170 UYE262168:UYE262170 VIA262168:VIA262170 VRW262168:VRW262170 WBS262168:WBS262170 WLO262168:WLO262170 WVK262168:WVK262170 C327704:C327706 IY327704:IY327706 SU327704:SU327706 ACQ327704:ACQ327706 AMM327704:AMM327706 AWI327704:AWI327706 BGE327704:BGE327706 BQA327704:BQA327706 BZW327704:BZW327706 CJS327704:CJS327706 CTO327704:CTO327706 DDK327704:DDK327706 DNG327704:DNG327706 DXC327704:DXC327706 EGY327704:EGY327706 EQU327704:EQU327706 FAQ327704:FAQ327706 FKM327704:FKM327706 FUI327704:FUI327706 GEE327704:GEE327706 GOA327704:GOA327706 GXW327704:GXW327706 HHS327704:HHS327706 HRO327704:HRO327706 IBK327704:IBK327706 ILG327704:ILG327706 IVC327704:IVC327706 JEY327704:JEY327706 JOU327704:JOU327706 JYQ327704:JYQ327706 KIM327704:KIM327706 KSI327704:KSI327706 LCE327704:LCE327706 LMA327704:LMA327706 LVW327704:LVW327706 MFS327704:MFS327706 MPO327704:MPO327706 MZK327704:MZK327706 NJG327704:NJG327706 NTC327704:NTC327706 OCY327704:OCY327706 OMU327704:OMU327706 OWQ327704:OWQ327706 PGM327704:PGM327706 PQI327704:PQI327706 QAE327704:QAE327706 QKA327704:QKA327706 QTW327704:QTW327706 RDS327704:RDS327706 RNO327704:RNO327706 RXK327704:RXK327706 SHG327704:SHG327706 SRC327704:SRC327706 TAY327704:TAY327706 TKU327704:TKU327706 TUQ327704:TUQ327706 UEM327704:UEM327706 UOI327704:UOI327706 UYE327704:UYE327706 VIA327704:VIA327706 VRW327704:VRW327706 WBS327704:WBS327706 WLO327704:WLO327706 WVK327704:WVK327706 C393240:C393242 IY393240:IY393242 SU393240:SU393242 ACQ393240:ACQ393242 AMM393240:AMM393242 AWI393240:AWI393242 BGE393240:BGE393242 BQA393240:BQA393242 BZW393240:BZW393242 CJS393240:CJS393242 CTO393240:CTO393242 DDK393240:DDK393242 DNG393240:DNG393242 DXC393240:DXC393242 EGY393240:EGY393242 EQU393240:EQU393242 FAQ393240:FAQ393242 FKM393240:FKM393242 FUI393240:FUI393242 GEE393240:GEE393242 GOA393240:GOA393242 GXW393240:GXW393242 HHS393240:HHS393242 HRO393240:HRO393242 IBK393240:IBK393242 ILG393240:ILG393242 IVC393240:IVC393242 JEY393240:JEY393242 JOU393240:JOU393242 JYQ393240:JYQ393242 KIM393240:KIM393242 KSI393240:KSI393242 LCE393240:LCE393242 LMA393240:LMA393242 LVW393240:LVW393242 MFS393240:MFS393242 MPO393240:MPO393242 MZK393240:MZK393242 NJG393240:NJG393242 NTC393240:NTC393242 OCY393240:OCY393242 OMU393240:OMU393242 OWQ393240:OWQ393242 PGM393240:PGM393242 PQI393240:PQI393242 QAE393240:QAE393242 QKA393240:QKA393242 QTW393240:QTW393242 RDS393240:RDS393242 RNO393240:RNO393242 RXK393240:RXK393242 SHG393240:SHG393242 SRC393240:SRC393242 TAY393240:TAY393242 TKU393240:TKU393242 TUQ393240:TUQ393242 UEM393240:UEM393242 UOI393240:UOI393242 UYE393240:UYE393242 VIA393240:VIA393242 VRW393240:VRW393242 WBS393240:WBS393242 WLO393240:WLO393242 WVK393240:WVK393242 C458776:C458778 IY458776:IY458778 SU458776:SU458778 ACQ458776:ACQ458778 AMM458776:AMM458778 AWI458776:AWI458778 BGE458776:BGE458778 BQA458776:BQA458778 BZW458776:BZW458778 CJS458776:CJS458778 CTO458776:CTO458778 DDK458776:DDK458778 DNG458776:DNG458778 DXC458776:DXC458778 EGY458776:EGY458778 EQU458776:EQU458778 FAQ458776:FAQ458778 FKM458776:FKM458778 FUI458776:FUI458778 GEE458776:GEE458778 GOA458776:GOA458778 GXW458776:GXW458778 HHS458776:HHS458778 HRO458776:HRO458778 IBK458776:IBK458778 ILG458776:ILG458778 IVC458776:IVC458778 JEY458776:JEY458778 JOU458776:JOU458778 JYQ458776:JYQ458778 KIM458776:KIM458778 KSI458776:KSI458778 LCE458776:LCE458778 LMA458776:LMA458778 LVW458776:LVW458778 MFS458776:MFS458778 MPO458776:MPO458778 MZK458776:MZK458778 NJG458776:NJG458778 NTC458776:NTC458778 OCY458776:OCY458778 OMU458776:OMU458778 OWQ458776:OWQ458778 PGM458776:PGM458778 PQI458776:PQI458778 QAE458776:QAE458778 QKA458776:QKA458778 QTW458776:QTW458778 RDS458776:RDS458778 RNO458776:RNO458778 RXK458776:RXK458778 SHG458776:SHG458778 SRC458776:SRC458778 TAY458776:TAY458778 TKU458776:TKU458778 TUQ458776:TUQ458778 UEM458776:UEM458778 UOI458776:UOI458778 UYE458776:UYE458778 VIA458776:VIA458778 VRW458776:VRW458778 WBS458776:WBS458778 WLO458776:WLO458778 WVK458776:WVK458778 C524312:C524314 IY524312:IY524314 SU524312:SU524314 ACQ524312:ACQ524314 AMM524312:AMM524314 AWI524312:AWI524314 BGE524312:BGE524314 BQA524312:BQA524314 BZW524312:BZW524314 CJS524312:CJS524314 CTO524312:CTO524314 DDK524312:DDK524314 DNG524312:DNG524314 DXC524312:DXC524314 EGY524312:EGY524314 EQU524312:EQU524314 FAQ524312:FAQ524314 FKM524312:FKM524314 FUI524312:FUI524314 GEE524312:GEE524314 GOA524312:GOA524314 GXW524312:GXW524314 HHS524312:HHS524314 HRO524312:HRO524314 IBK524312:IBK524314 ILG524312:ILG524314 IVC524312:IVC524314 JEY524312:JEY524314 JOU524312:JOU524314 JYQ524312:JYQ524314 KIM524312:KIM524314 KSI524312:KSI524314 LCE524312:LCE524314 LMA524312:LMA524314 LVW524312:LVW524314 MFS524312:MFS524314 MPO524312:MPO524314 MZK524312:MZK524314 NJG524312:NJG524314 NTC524312:NTC524314 OCY524312:OCY524314 OMU524312:OMU524314 OWQ524312:OWQ524314 PGM524312:PGM524314 PQI524312:PQI524314 QAE524312:QAE524314 QKA524312:QKA524314 QTW524312:QTW524314 RDS524312:RDS524314 RNO524312:RNO524314 RXK524312:RXK524314 SHG524312:SHG524314 SRC524312:SRC524314 TAY524312:TAY524314 TKU524312:TKU524314 TUQ524312:TUQ524314 UEM524312:UEM524314 UOI524312:UOI524314 UYE524312:UYE524314 VIA524312:VIA524314 VRW524312:VRW524314 WBS524312:WBS524314 WLO524312:WLO524314 WVK524312:WVK524314 C589848:C589850 IY589848:IY589850 SU589848:SU589850 ACQ589848:ACQ589850 AMM589848:AMM589850 AWI589848:AWI589850 BGE589848:BGE589850 BQA589848:BQA589850 BZW589848:BZW589850 CJS589848:CJS589850 CTO589848:CTO589850 DDK589848:DDK589850 DNG589848:DNG589850 DXC589848:DXC589850 EGY589848:EGY589850 EQU589848:EQU589850 FAQ589848:FAQ589850 FKM589848:FKM589850 FUI589848:FUI589850 GEE589848:GEE589850 GOA589848:GOA589850 GXW589848:GXW589850 HHS589848:HHS589850 HRO589848:HRO589850 IBK589848:IBK589850 ILG589848:ILG589850 IVC589848:IVC589850 JEY589848:JEY589850 JOU589848:JOU589850 JYQ589848:JYQ589850 KIM589848:KIM589850 KSI589848:KSI589850 LCE589848:LCE589850 LMA589848:LMA589850 LVW589848:LVW589850 MFS589848:MFS589850 MPO589848:MPO589850 MZK589848:MZK589850 NJG589848:NJG589850 NTC589848:NTC589850 OCY589848:OCY589850 OMU589848:OMU589850 OWQ589848:OWQ589850 PGM589848:PGM589850 PQI589848:PQI589850 QAE589848:QAE589850 QKA589848:QKA589850 QTW589848:QTW589850 RDS589848:RDS589850 RNO589848:RNO589850 RXK589848:RXK589850 SHG589848:SHG589850 SRC589848:SRC589850 TAY589848:TAY589850 TKU589848:TKU589850 TUQ589848:TUQ589850 UEM589848:UEM589850 UOI589848:UOI589850 UYE589848:UYE589850 VIA589848:VIA589850 VRW589848:VRW589850 WBS589848:WBS589850 WLO589848:WLO589850 WVK589848:WVK589850 C655384:C655386 IY655384:IY655386 SU655384:SU655386 ACQ655384:ACQ655386 AMM655384:AMM655386 AWI655384:AWI655386 BGE655384:BGE655386 BQA655384:BQA655386 BZW655384:BZW655386 CJS655384:CJS655386 CTO655384:CTO655386 DDK655384:DDK655386 DNG655384:DNG655386 DXC655384:DXC655386 EGY655384:EGY655386 EQU655384:EQU655386 FAQ655384:FAQ655386 FKM655384:FKM655386 FUI655384:FUI655386 GEE655384:GEE655386 GOA655384:GOA655386 GXW655384:GXW655386 HHS655384:HHS655386 HRO655384:HRO655386 IBK655384:IBK655386 ILG655384:ILG655386 IVC655384:IVC655386 JEY655384:JEY655386 JOU655384:JOU655386 JYQ655384:JYQ655386 KIM655384:KIM655386 KSI655384:KSI655386 LCE655384:LCE655386 LMA655384:LMA655386 LVW655384:LVW655386 MFS655384:MFS655386 MPO655384:MPO655386 MZK655384:MZK655386 NJG655384:NJG655386 NTC655384:NTC655386 OCY655384:OCY655386 OMU655384:OMU655386 OWQ655384:OWQ655386 PGM655384:PGM655386 PQI655384:PQI655386 QAE655384:QAE655386 QKA655384:QKA655386 QTW655384:QTW655386 RDS655384:RDS655386 RNO655384:RNO655386 RXK655384:RXK655386 SHG655384:SHG655386 SRC655384:SRC655386 TAY655384:TAY655386 TKU655384:TKU655386 TUQ655384:TUQ655386 UEM655384:UEM655386 UOI655384:UOI655386 UYE655384:UYE655386 VIA655384:VIA655386 VRW655384:VRW655386 WBS655384:WBS655386 WLO655384:WLO655386 WVK655384:WVK655386 C720920:C720922 IY720920:IY720922 SU720920:SU720922 ACQ720920:ACQ720922 AMM720920:AMM720922 AWI720920:AWI720922 BGE720920:BGE720922 BQA720920:BQA720922 BZW720920:BZW720922 CJS720920:CJS720922 CTO720920:CTO720922 DDK720920:DDK720922 DNG720920:DNG720922 DXC720920:DXC720922 EGY720920:EGY720922 EQU720920:EQU720922 FAQ720920:FAQ720922 FKM720920:FKM720922 FUI720920:FUI720922 GEE720920:GEE720922 GOA720920:GOA720922 GXW720920:GXW720922 HHS720920:HHS720922 HRO720920:HRO720922 IBK720920:IBK720922 ILG720920:ILG720922 IVC720920:IVC720922 JEY720920:JEY720922 JOU720920:JOU720922 JYQ720920:JYQ720922 KIM720920:KIM720922 KSI720920:KSI720922 LCE720920:LCE720922 LMA720920:LMA720922 LVW720920:LVW720922 MFS720920:MFS720922 MPO720920:MPO720922 MZK720920:MZK720922 NJG720920:NJG720922 NTC720920:NTC720922 OCY720920:OCY720922 OMU720920:OMU720922 OWQ720920:OWQ720922 PGM720920:PGM720922 PQI720920:PQI720922 QAE720920:QAE720922 QKA720920:QKA720922 QTW720920:QTW720922 RDS720920:RDS720922 RNO720920:RNO720922 RXK720920:RXK720922 SHG720920:SHG720922 SRC720920:SRC720922 TAY720920:TAY720922 TKU720920:TKU720922 TUQ720920:TUQ720922 UEM720920:UEM720922 UOI720920:UOI720922 UYE720920:UYE720922 VIA720920:VIA720922 VRW720920:VRW720922 WBS720920:WBS720922 WLO720920:WLO720922 WVK720920:WVK720922 C786456:C786458 IY786456:IY786458 SU786456:SU786458 ACQ786456:ACQ786458 AMM786456:AMM786458 AWI786456:AWI786458 BGE786456:BGE786458 BQA786456:BQA786458 BZW786456:BZW786458 CJS786456:CJS786458 CTO786456:CTO786458 DDK786456:DDK786458 DNG786456:DNG786458 DXC786456:DXC786458 EGY786456:EGY786458 EQU786456:EQU786458 FAQ786456:FAQ786458 FKM786456:FKM786458 FUI786456:FUI786458 GEE786456:GEE786458 GOA786456:GOA786458 GXW786456:GXW786458 HHS786456:HHS786458 HRO786456:HRO786458 IBK786456:IBK786458 ILG786456:ILG786458 IVC786456:IVC786458 JEY786456:JEY786458 JOU786456:JOU786458 JYQ786456:JYQ786458 KIM786456:KIM786458 KSI786456:KSI786458 LCE786456:LCE786458 LMA786456:LMA786458 LVW786456:LVW786458 MFS786456:MFS786458 MPO786456:MPO786458 MZK786456:MZK786458 NJG786456:NJG786458 NTC786456:NTC786458 OCY786456:OCY786458 OMU786456:OMU786458 OWQ786456:OWQ786458 PGM786456:PGM786458 PQI786456:PQI786458 QAE786456:QAE786458 QKA786456:QKA786458 QTW786456:QTW786458 RDS786456:RDS786458 RNO786456:RNO786458 RXK786456:RXK786458 SHG786456:SHG786458 SRC786456:SRC786458 TAY786456:TAY786458 TKU786456:TKU786458 TUQ786456:TUQ786458 UEM786456:UEM786458 UOI786456:UOI786458 UYE786456:UYE786458 VIA786456:VIA786458 VRW786456:VRW786458 WBS786456:WBS786458 WLO786456:WLO786458 WVK786456:WVK786458 C851992:C851994 IY851992:IY851994 SU851992:SU851994 ACQ851992:ACQ851994 AMM851992:AMM851994 AWI851992:AWI851994 BGE851992:BGE851994 BQA851992:BQA851994 BZW851992:BZW851994 CJS851992:CJS851994 CTO851992:CTO851994 DDK851992:DDK851994 DNG851992:DNG851994 DXC851992:DXC851994 EGY851992:EGY851994 EQU851992:EQU851994 FAQ851992:FAQ851994 FKM851992:FKM851994 FUI851992:FUI851994 GEE851992:GEE851994 GOA851992:GOA851994 GXW851992:GXW851994 HHS851992:HHS851994 HRO851992:HRO851994 IBK851992:IBK851994 ILG851992:ILG851994 IVC851992:IVC851994 JEY851992:JEY851994 JOU851992:JOU851994 JYQ851992:JYQ851994 KIM851992:KIM851994 KSI851992:KSI851994 LCE851992:LCE851994 LMA851992:LMA851994 LVW851992:LVW851994 MFS851992:MFS851994 MPO851992:MPO851994 MZK851992:MZK851994 NJG851992:NJG851994 NTC851992:NTC851994 OCY851992:OCY851994 OMU851992:OMU851994 OWQ851992:OWQ851994 PGM851992:PGM851994 PQI851992:PQI851994 QAE851992:QAE851994 QKA851992:QKA851994 QTW851992:QTW851994 RDS851992:RDS851994 RNO851992:RNO851994 RXK851992:RXK851994 SHG851992:SHG851994 SRC851992:SRC851994 TAY851992:TAY851994 TKU851992:TKU851994 TUQ851992:TUQ851994 UEM851992:UEM851994 UOI851992:UOI851994 UYE851992:UYE851994 VIA851992:VIA851994 VRW851992:VRW851994 WBS851992:WBS851994 WLO851992:WLO851994 WVK851992:WVK851994 C917528:C917530 IY917528:IY917530 SU917528:SU917530 ACQ917528:ACQ917530 AMM917528:AMM917530 AWI917528:AWI917530 BGE917528:BGE917530 BQA917528:BQA917530 BZW917528:BZW917530 CJS917528:CJS917530 CTO917528:CTO917530 DDK917528:DDK917530 DNG917528:DNG917530 DXC917528:DXC917530 EGY917528:EGY917530 EQU917528:EQU917530 FAQ917528:FAQ917530 FKM917528:FKM917530 FUI917528:FUI917530 GEE917528:GEE917530 GOA917528:GOA917530 GXW917528:GXW917530 HHS917528:HHS917530 HRO917528:HRO917530 IBK917528:IBK917530 ILG917528:ILG917530 IVC917528:IVC917530 JEY917528:JEY917530 JOU917528:JOU917530 JYQ917528:JYQ917530 KIM917528:KIM917530 KSI917528:KSI917530 LCE917528:LCE917530 LMA917528:LMA917530 LVW917528:LVW917530 MFS917528:MFS917530 MPO917528:MPO917530 MZK917528:MZK917530 NJG917528:NJG917530 NTC917528:NTC917530 OCY917528:OCY917530 OMU917528:OMU917530 OWQ917528:OWQ917530 PGM917528:PGM917530 PQI917528:PQI917530 QAE917528:QAE917530 QKA917528:QKA917530 QTW917528:QTW917530 RDS917528:RDS917530 RNO917528:RNO917530 RXK917528:RXK917530 SHG917528:SHG917530 SRC917528:SRC917530 TAY917528:TAY917530 TKU917528:TKU917530 TUQ917528:TUQ917530 UEM917528:UEM917530 UOI917528:UOI917530 UYE917528:UYE917530 VIA917528:VIA917530 VRW917528:VRW917530 WBS917528:WBS917530 WLO917528:WLO917530 WVK917528:WVK917530 C983064:C983066 IY983064:IY983066 SU983064:SU983066 ACQ983064:ACQ983066 AMM983064:AMM983066 AWI983064:AWI983066 BGE983064:BGE983066 BQA983064:BQA983066 BZW983064:BZW983066 CJS983064:CJS983066 CTO983064:CTO983066 DDK983064:DDK983066 DNG983064:DNG983066 DXC983064:DXC983066 EGY983064:EGY983066 EQU983064:EQU983066 FAQ983064:FAQ983066 FKM983064:FKM983066 FUI983064:FUI983066 GEE983064:GEE983066 GOA983064:GOA983066 GXW983064:GXW983066 HHS983064:HHS983066 HRO983064:HRO983066 IBK983064:IBK983066 ILG983064:ILG983066 IVC983064:IVC983066 JEY983064:JEY983066 JOU983064:JOU983066 JYQ983064:JYQ983066 KIM983064:KIM983066 KSI983064:KSI983066 LCE983064:LCE983066 LMA983064:LMA983066 LVW983064:LVW983066 MFS983064:MFS983066 MPO983064:MPO983066 MZK983064:MZK983066 NJG983064:NJG983066 NTC983064:NTC983066 OCY983064:OCY983066 OMU983064:OMU983066 OWQ983064:OWQ983066 PGM983064:PGM983066 PQI983064:PQI983066 QAE983064:QAE983066 QKA983064:QKA983066 QTW983064:QTW983066 RDS983064:RDS983066 RNO983064:RNO983066 RXK983064:RXK983066 SHG983064:SHG983066 SRC983064:SRC983066 TAY983064:TAY983066 TKU983064:TKU983066 TUQ983064:TUQ983066 UEM983064:UEM983066 UOI983064:UOI983066 UYE983064:UYE983066 VIA983064:VIA983066 VRW983064:VRW983066 WBS983064:WBS983066 WLO983064:WLO983066 WVK983064:WVK983066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formula1>$AG$15:$AG$16</formula1>
    </dataValidation>
  </dataValidations>
  <hyperlinks>
    <hyperlink ref="B2"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B2:T35"/>
  <sheetViews>
    <sheetView topLeftCell="A3" workbookViewId="0">
      <selection activeCell="K31" sqref="K31"/>
    </sheetView>
  </sheetViews>
  <sheetFormatPr defaultRowHeight="15"/>
  <cols>
    <col min="3" max="3" width="10" customWidth="1"/>
    <col min="4" max="4" width="12" customWidth="1"/>
    <col min="5" max="5" width="7" customWidth="1"/>
    <col min="6" max="6" width="2.140625" customWidth="1"/>
    <col min="7" max="7" width="10.140625" customWidth="1"/>
    <col min="259" max="259" width="10" customWidth="1"/>
    <col min="260" max="260" width="12" customWidth="1"/>
    <col min="261" max="261" width="7" customWidth="1"/>
    <col min="262" max="262" width="2.140625" customWidth="1"/>
    <col min="515" max="515" width="10" customWidth="1"/>
    <col min="516" max="516" width="12" customWidth="1"/>
    <col min="517" max="517" width="7" customWidth="1"/>
    <col min="518" max="518" width="2.140625" customWidth="1"/>
    <col min="771" max="771" width="10" customWidth="1"/>
    <col min="772" max="772" width="12" customWidth="1"/>
    <col min="773" max="773" width="7" customWidth="1"/>
    <col min="774" max="774" width="2.140625" customWidth="1"/>
    <col min="1027" max="1027" width="10" customWidth="1"/>
    <col min="1028" max="1028" width="12" customWidth="1"/>
    <col min="1029" max="1029" width="7" customWidth="1"/>
    <col min="1030" max="1030" width="2.140625" customWidth="1"/>
    <col min="1283" max="1283" width="10" customWidth="1"/>
    <col min="1284" max="1284" width="12" customWidth="1"/>
    <col min="1285" max="1285" width="7" customWidth="1"/>
    <col min="1286" max="1286" width="2.140625" customWidth="1"/>
    <col min="1539" max="1539" width="10" customWidth="1"/>
    <col min="1540" max="1540" width="12" customWidth="1"/>
    <col min="1541" max="1541" width="7" customWidth="1"/>
    <col min="1542" max="1542" width="2.140625" customWidth="1"/>
    <col min="1795" max="1795" width="10" customWidth="1"/>
    <col min="1796" max="1796" width="12" customWidth="1"/>
    <col min="1797" max="1797" width="7" customWidth="1"/>
    <col min="1798" max="1798" width="2.140625" customWidth="1"/>
    <col min="2051" max="2051" width="10" customWidth="1"/>
    <col min="2052" max="2052" width="12" customWidth="1"/>
    <col min="2053" max="2053" width="7" customWidth="1"/>
    <col min="2054" max="2054" width="2.140625" customWidth="1"/>
    <col min="2307" max="2307" width="10" customWidth="1"/>
    <col min="2308" max="2308" width="12" customWidth="1"/>
    <col min="2309" max="2309" width="7" customWidth="1"/>
    <col min="2310" max="2310" width="2.140625" customWidth="1"/>
    <col min="2563" max="2563" width="10" customWidth="1"/>
    <col min="2564" max="2564" width="12" customWidth="1"/>
    <col min="2565" max="2565" width="7" customWidth="1"/>
    <col min="2566" max="2566" width="2.140625" customWidth="1"/>
    <col min="2819" max="2819" width="10" customWidth="1"/>
    <col min="2820" max="2820" width="12" customWidth="1"/>
    <col min="2821" max="2821" width="7" customWidth="1"/>
    <col min="2822" max="2822" width="2.140625" customWidth="1"/>
    <col min="3075" max="3075" width="10" customWidth="1"/>
    <col min="3076" max="3076" width="12" customWidth="1"/>
    <col min="3077" max="3077" width="7" customWidth="1"/>
    <col min="3078" max="3078" width="2.140625" customWidth="1"/>
    <col min="3331" max="3331" width="10" customWidth="1"/>
    <col min="3332" max="3332" width="12" customWidth="1"/>
    <col min="3333" max="3333" width="7" customWidth="1"/>
    <col min="3334" max="3334" width="2.140625" customWidth="1"/>
    <col min="3587" max="3587" width="10" customWidth="1"/>
    <col min="3588" max="3588" width="12" customWidth="1"/>
    <col min="3589" max="3589" width="7" customWidth="1"/>
    <col min="3590" max="3590" width="2.140625" customWidth="1"/>
    <col min="3843" max="3843" width="10" customWidth="1"/>
    <col min="3844" max="3844" width="12" customWidth="1"/>
    <col min="3845" max="3845" width="7" customWidth="1"/>
    <col min="3846" max="3846" width="2.140625" customWidth="1"/>
    <col min="4099" max="4099" width="10" customWidth="1"/>
    <col min="4100" max="4100" width="12" customWidth="1"/>
    <col min="4101" max="4101" width="7" customWidth="1"/>
    <col min="4102" max="4102" width="2.140625" customWidth="1"/>
    <col min="4355" max="4355" width="10" customWidth="1"/>
    <col min="4356" max="4356" width="12" customWidth="1"/>
    <col min="4357" max="4357" width="7" customWidth="1"/>
    <col min="4358" max="4358" width="2.140625" customWidth="1"/>
    <col min="4611" max="4611" width="10" customWidth="1"/>
    <col min="4612" max="4612" width="12" customWidth="1"/>
    <col min="4613" max="4613" width="7" customWidth="1"/>
    <col min="4614" max="4614" width="2.140625" customWidth="1"/>
    <col min="4867" max="4867" width="10" customWidth="1"/>
    <col min="4868" max="4868" width="12" customWidth="1"/>
    <col min="4869" max="4869" width="7" customWidth="1"/>
    <col min="4870" max="4870" width="2.140625" customWidth="1"/>
    <col min="5123" max="5123" width="10" customWidth="1"/>
    <col min="5124" max="5124" width="12" customWidth="1"/>
    <col min="5125" max="5125" width="7" customWidth="1"/>
    <col min="5126" max="5126" width="2.140625" customWidth="1"/>
    <col min="5379" max="5379" width="10" customWidth="1"/>
    <col min="5380" max="5380" width="12" customWidth="1"/>
    <col min="5381" max="5381" width="7" customWidth="1"/>
    <col min="5382" max="5382" width="2.140625" customWidth="1"/>
    <col min="5635" max="5635" width="10" customWidth="1"/>
    <col min="5636" max="5636" width="12" customWidth="1"/>
    <col min="5637" max="5637" width="7" customWidth="1"/>
    <col min="5638" max="5638" width="2.140625" customWidth="1"/>
    <col min="5891" max="5891" width="10" customWidth="1"/>
    <col min="5892" max="5892" width="12" customWidth="1"/>
    <col min="5893" max="5893" width="7" customWidth="1"/>
    <col min="5894" max="5894" width="2.140625" customWidth="1"/>
    <col min="6147" max="6147" width="10" customWidth="1"/>
    <col min="6148" max="6148" width="12" customWidth="1"/>
    <col min="6149" max="6149" width="7" customWidth="1"/>
    <col min="6150" max="6150" width="2.140625" customWidth="1"/>
    <col min="6403" max="6403" width="10" customWidth="1"/>
    <col min="6404" max="6404" width="12" customWidth="1"/>
    <col min="6405" max="6405" width="7" customWidth="1"/>
    <col min="6406" max="6406" width="2.140625" customWidth="1"/>
    <col min="6659" max="6659" width="10" customWidth="1"/>
    <col min="6660" max="6660" width="12" customWidth="1"/>
    <col min="6661" max="6661" width="7" customWidth="1"/>
    <col min="6662" max="6662" width="2.140625" customWidth="1"/>
    <col min="6915" max="6915" width="10" customWidth="1"/>
    <col min="6916" max="6916" width="12" customWidth="1"/>
    <col min="6917" max="6917" width="7" customWidth="1"/>
    <col min="6918" max="6918" width="2.140625" customWidth="1"/>
    <col min="7171" max="7171" width="10" customWidth="1"/>
    <col min="7172" max="7172" width="12" customWidth="1"/>
    <col min="7173" max="7173" width="7" customWidth="1"/>
    <col min="7174" max="7174" width="2.140625" customWidth="1"/>
    <col min="7427" max="7427" width="10" customWidth="1"/>
    <col min="7428" max="7428" width="12" customWidth="1"/>
    <col min="7429" max="7429" width="7" customWidth="1"/>
    <col min="7430" max="7430" width="2.140625" customWidth="1"/>
    <col min="7683" max="7683" width="10" customWidth="1"/>
    <col min="7684" max="7684" width="12" customWidth="1"/>
    <col min="7685" max="7685" width="7" customWidth="1"/>
    <col min="7686" max="7686" width="2.140625" customWidth="1"/>
    <col min="7939" max="7939" width="10" customWidth="1"/>
    <col min="7940" max="7940" width="12" customWidth="1"/>
    <col min="7941" max="7941" width="7" customWidth="1"/>
    <col min="7942" max="7942" width="2.140625" customWidth="1"/>
    <col min="8195" max="8195" width="10" customWidth="1"/>
    <col min="8196" max="8196" width="12" customWidth="1"/>
    <col min="8197" max="8197" width="7" customWidth="1"/>
    <col min="8198" max="8198" width="2.140625" customWidth="1"/>
    <col min="8451" max="8451" width="10" customWidth="1"/>
    <col min="8452" max="8452" width="12" customWidth="1"/>
    <col min="8453" max="8453" width="7" customWidth="1"/>
    <col min="8454" max="8454" width="2.140625" customWidth="1"/>
    <col min="8707" max="8707" width="10" customWidth="1"/>
    <col min="8708" max="8708" width="12" customWidth="1"/>
    <col min="8709" max="8709" width="7" customWidth="1"/>
    <col min="8710" max="8710" width="2.140625" customWidth="1"/>
    <col min="8963" max="8963" width="10" customWidth="1"/>
    <col min="8964" max="8964" width="12" customWidth="1"/>
    <col min="8965" max="8965" width="7" customWidth="1"/>
    <col min="8966" max="8966" width="2.140625" customWidth="1"/>
    <col min="9219" max="9219" width="10" customWidth="1"/>
    <col min="9220" max="9220" width="12" customWidth="1"/>
    <col min="9221" max="9221" width="7" customWidth="1"/>
    <col min="9222" max="9222" width="2.140625" customWidth="1"/>
    <col min="9475" max="9475" width="10" customWidth="1"/>
    <col min="9476" max="9476" width="12" customWidth="1"/>
    <col min="9477" max="9477" width="7" customWidth="1"/>
    <col min="9478" max="9478" width="2.140625" customWidth="1"/>
    <col min="9731" max="9731" width="10" customWidth="1"/>
    <col min="9732" max="9732" width="12" customWidth="1"/>
    <col min="9733" max="9733" width="7" customWidth="1"/>
    <col min="9734" max="9734" width="2.140625" customWidth="1"/>
    <col min="9987" max="9987" width="10" customWidth="1"/>
    <col min="9988" max="9988" width="12" customWidth="1"/>
    <col min="9989" max="9989" width="7" customWidth="1"/>
    <col min="9990" max="9990" width="2.140625" customWidth="1"/>
    <col min="10243" max="10243" width="10" customWidth="1"/>
    <col min="10244" max="10244" width="12" customWidth="1"/>
    <col min="10245" max="10245" width="7" customWidth="1"/>
    <col min="10246" max="10246" width="2.140625" customWidth="1"/>
    <col min="10499" max="10499" width="10" customWidth="1"/>
    <col min="10500" max="10500" width="12" customWidth="1"/>
    <col min="10501" max="10501" width="7" customWidth="1"/>
    <col min="10502" max="10502" width="2.140625" customWidth="1"/>
    <col min="10755" max="10755" width="10" customWidth="1"/>
    <col min="10756" max="10756" width="12" customWidth="1"/>
    <col min="10757" max="10757" width="7" customWidth="1"/>
    <col min="10758" max="10758" width="2.140625" customWidth="1"/>
    <col min="11011" max="11011" width="10" customWidth="1"/>
    <col min="11012" max="11012" width="12" customWidth="1"/>
    <col min="11013" max="11013" width="7" customWidth="1"/>
    <col min="11014" max="11014" width="2.140625" customWidth="1"/>
    <col min="11267" max="11267" width="10" customWidth="1"/>
    <col min="11268" max="11268" width="12" customWidth="1"/>
    <col min="11269" max="11269" width="7" customWidth="1"/>
    <col min="11270" max="11270" width="2.140625" customWidth="1"/>
    <col min="11523" max="11523" width="10" customWidth="1"/>
    <col min="11524" max="11524" width="12" customWidth="1"/>
    <col min="11525" max="11525" width="7" customWidth="1"/>
    <col min="11526" max="11526" width="2.140625" customWidth="1"/>
    <col min="11779" max="11779" width="10" customWidth="1"/>
    <col min="11780" max="11780" width="12" customWidth="1"/>
    <col min="11781" max="11781" width="7" customWidth="1"/>
    <col min="11782" max="11782" width="2.140625" customWidth="1"/>
    <col min="12035" max="12035" width="10" customWidth="1"/>
    <col min="12036" max="12036" width="12" customWidth="1"/>
    <col min="12037" max="12037" width="7" customWidth="1"/>
    <col min="12038" max="12038" width="2.140625" customWidth="1"/>
    <col min="12291" max="12291" width="10" customWidth="1"/>
    <col min="12292" max="12292" width="12" customWidth="1"/>
    <col min="12293" max="12293" width="7" customWidth="1"/>
    <col min="12294" max="12294" width="2.140625" customWidth="1"/>
    <col min="12547" max="12547" width="10" customWidth="1"/>
    <col min="12548" max="12548" width="12" customWidth="1"/>
    <col min="12549" max="12549" width="7" customWidth="1"/>
    <col min="12550" max="12550" width="2.140625" customWidth="1"/>
    <col min="12803" max="12803" width="10" customWidth="1"/>
    <col min="12804" max="12804" width="12" customWidth="1"/>
    <col min="12805" max="12805" width="7" customWidth="1"/>
    <col min="12806" max="12806" width="2.140625" customWidth="1"/>
    <col min="13059" max="13059" width="10" customWidth="1"/>
    <col min="13060" max="13060" width="12" customWidth="1"/>
    <col min="13061" max="13061" width="7" customWidth="1"/>
    <col min="13062" max="13062" width="2.140625" customWidth="1"/>
    <col min="13315" max="13315" width="10" customWidth="1"/>
    <col min="13316" max="13316" width="12" customWidth="1"/>
    <col min="13317" max="13317" width="7" customWidth="1"/>
    <col min="13318" max="13318" width="2.140625" customWidth="1"/>
    <col min="13571" max="13571" width="10" customWidth="1"/>
    <col min="13572" max="13572" width="12" customWidth="1"/>
    <col min="13573" max="13573" width="7" customWidth="1"/>
    <col min="13574" max="13574" width="2.140625" customWidth="1"/>
    <col min="13827" max="13827" width="10" customWidth="1"/>
    <col min="13828" max="13828" width="12" customWidth="1"/>
    <col min="13829" max="13829" width="7" customWidth="1"/>
    <col min="13830" max="13830" width="2.140625" customWidth="1"/>
    <col min="14083" max="14083" width="10" customWidth="1"/>
    <col min="14084" max="14084" width="12" customWidth="1"/>
    <col min="14085" max="14085" width="7" customWidth="1"/>
    <col min="14086" max="14086" width="2.140625" customWidth="1"/>
    <col min="14339" max="14339" width="10" customWidth="1"/>
    <col min="14340" max="14340" width="12" customWidth="1"/>
    <col min="14341" max="14341" width="7" customWidth="1"/>
    <col min="14342" max="14342" width="2.140625" customWidth="1"/>
    <col min="14595" max="14595" width="10" customWidth="1"/>
    <col min="14596" max="14596" width="12" customWidth="1"/>
    <col min="14597" max="14597" width="7" customWidth="1"/>
    <col min="14598" max="14598" width="2.140625" customWidth="1"/>
    <col min="14851" max="14851" width="10" customWidth="1"/>
    <col min="14852" max="14852" width="12" customWidth="1"/>
    <col min="14853" max="14853" width="7" customWidth="1"/>
    <col min="14854" max="14854" width="2.140625" customWidth="1"/>
    <col min="15107" max="15107" width="10" customWidth="1"/>
    <col min="15108" max="15108" width="12" customWidth="1"/>
    <col min="15109" max="15109" width="7" customWidth="1"/>
    <col min="15110" max="15110" width="2.140625" customWidth="1"/>
    <col min="15363" max="15363" width="10" customWidth="1"/>
    <col min="15364" max="15364" width="12" customWidth="1"/>
    <col min="15365" max="15365" width="7" customWidth="1"/>
    <col min="15366" max="15366" width="2.140625" customWidth="1"/>
    <col min="15619" max="15619" width="10" customWidth="1"/>
    <col min="15620" max="15620" width="12" customWidth="1"/>
    <col min="15621" max="15621" width="7" customWidth="1"/>
    <col min="15622" max="15622" width="2.140625" customWidth="1"/>
    <col min="15875" max="15875" width="10" customWidth="1"/>
    <col min="15876" max="15876" width="12" customWidth="1"/>
    <col min="15877" max="15877" width="7" customWidth="1"/>
    <col min="15878" max="15878" width="2.140625" customWidth="1"/>
    <col min="16131" max="16131" width="10" customWidth="1"/>
    <col min="16132" max="16132" width="12" customWidth="1"/>
    <col min="16133" max="16133" width="7" customWidth="1"/>
    <col min="16134" max="16134" width="2.140625" customWidth="1"/>
  </cols>
  <sheetData>
    <row r="2" spans="2:20" ht="27.75">
      <c r="B2" s="208" t="s">
        <v>269</v>
      </c>
      <c r="I2" s="208"/>
      <c r="P2" s="209"/>
    </row>
    <row r="4" spans="2:20" ht="15.75" thickBot="1">
      <c r="C4" s="175" t="s">
        <v>270</v>
      </c>
      <c r="G4" s="175" t="s">
        <v>271</v>
      </c>
    </row>
    <row r="5" spans="2:20">
      <c r="B5" s="8" t="s">
        <v>272</v>
      </c>
      <c r="C5" s="151" t="s">
        <v>273</v>
      </c>
      <c r="D5" s="210">
        <f ca="1">TODAY()</f>
        <v>40484</v>
      </c>
      <c r="E5" s="211"/>
      <c r="G5" s="212" t="s">
        <v>274</v>
      </c>
      <c r="H5" s="73"/>
      <c r="I5" s="73"/>
      <c r="J5" s="73"/>
      <c r="K5" s="73"/>
      <c r="L5" s="73"/>
      <c r="M5" s="73"/>
      <c r="N5" s="174"/>
      <c r="O5" s="39"/>
      <c r="P5" s="39"/>
      <c r="Q5" s="39"/>
      <c r="R5" s="39"/>
      <c r="S5" s="39"/>
      <c r="T5" s="39"/>
    </row>
    <row r="6" spans="2:20">
      <c r="C6" s="153" t="s">
        <v>275</v>
      </c>
      <c r="D6" s="213"/>
      <c r="E6" s="214"/>
      <c r="G6" s="374"/>
      <c r="H6" s="375"/>
      <c r="I6" s="375"/>
      <c r="J6" s="375"/>
      <c r="K6" s="375"/>
      <c r="L6" s="375"/>
      <c r="M6" s="375"/>
      <c r="N6" s="376"/>
      <c r="O6" s="215"/>
      <c r="P6" s="215"/>
      <c r="Q6" s="215"/>
      <c r="R6" s="215"/>
      <c r="S6" s="215"/>
      <c r="T6" s="215"/>
    </row>
    <row r="7" spans="2:20">
      <c r="C7" s="216" t="s">
        <v>276</v>
      </c>
      <c r="D7" s="217"/>
      <c r="E7" s="218"/>
      <c r="G7" s="377"/>
      <c r="H7" s="378"/>
      <c r="I7" s="378"/>
      <c r="J7" s="378"/>
      <c r="K7" s="378"/>
      <c r="L7" s="378"/>
      <c r="M7" s="378"/>
      <c r="N7" s="379"/>
      <c r="O7" s="215"/>
      <c r="P7" s="215"/>
      <c r="Q7" s="215"/>
      <c r="R7" s="215"/>
      <c r="S7" s="215"/>
      <c r="T7" s="215"/>
    </row>
    <row r="8" spans="2:20">
      <c r="C8" s="219"/>
      <c r="D8" s="220"/>
      <c r="E8" s="221"/>
      <c r="G8" s="380"/>
      <c r="H8" s="381"/>
      <c r="I8" s="381"/>
      <c r="J8" s="381"/>
      <c r="K8" s="381"/>
      <c r="L8" s="381"/>
      <c r="M8" s="381"/>
      <c r="N8" s="382"/>
      <c r="O8" s="215"/>
      <c r="P8" s="215"/>
      <c r="Q8" s="215"/>
      <c r="R8" s="215"/>
      <c r="S8" s="215"/>
      <c r="T8" s="215"/>
    </row>
    <row r="9" spans="2:20">
      <c r="C9" s="219"/>
      <c r="D9" s="222"/>
      <c r="E9" s="223"/>
      <c r="G9" s="224"/>
      <c r="H9" s="225"/>
      <c r="I9" s="225"/>
      <c r="J9" s="225"/>
      <c r="K9" s="225"/>
      <c r="L9" s="225"/>
      <c r="M9" s="225"/>
      <c r="N9" s="226"/>
      <c r="O9" s="227"/>
      <c r="P9" s="227"/>
      <c r="Q9" s="227"/>
      <c r="R9" s="227"/>
      <c r="S9" s="227"/>
      <c r="T9" s="227"/>
    </row>
    <row r="10" spans="2:20">
      <c r="B10" s="8" t="s">
        <v>180</v>
      </c>
      <c r="C10" s="228" t="s">
        <v>277</v>
      </c>
      <c r="D10" s="229">
        <f>Field!D6</f>
        <v>15</v>
      </c>
      <c r="E10" s="230"/>
      <c r="G10" s="231" t="s">
        <v>278</v>
      </c>
      <c r="H10" s="16"/>
      <c r="I10" s="16"/>
      <c r="J10" s="16"/>
      <c r="K10" s="16"/>
      <c r="L10" s="16"/>
      <c r="M10" s="16"/>
      <c r="N10" s="83"/>
      <c r="O10" s="39"/>
      <c r="P10" s="39"/>
      <c r="Q10" s="39"/>
      <c r="R10" s="39"/>
      <c r="S10" s="39"/>
      <c r="T10" s="39"/>
    </row>
    <row r="11" spans="2:20">
      <c r="C11" s="153" t="s">
        <v>279</v>
      </c>
      <c r="D11" s="232" t="str">
        <f>Field!D9</f>
        <v>Silt Loam</v>
      </c>
      <c r="E11" s="83"/>
      <c r="G11" s="368" t="str">
        <f>Seasonal!N12</f>
        <v>No Hardpan or deep hardpan layer: the available root zone is sufficient to support your planted crop.</v>
      </c>
      <c r="H11" s="383"/>
      <c r="I11" s="383"/>
      <c r="J11" s="383"/>
      <c r="K11" s="383"/>
      <c r="L11" s="383"/>
      <c r="M11" s="383"/>
      <c r="N11" s="384"/>
      <c r="O11" s="233"/>
      <c r="P11" s="233"/>
      <c r="Q11" s="233"/>
      <c r="R11" s="233"/>
      <c r="S11" s="233"/>
      <c r="T11" s="233"/>
    </row>
    <row r="12" spans="2:20">
      <c r="C12" s="153" t="s">
        <v>280</v>
      </c>
      <c r="D12" s="234">
        <f>Seasonal!C9</f>
        <v>9.5792159737419381E-3</v>
      </c>
      <c r="E12" s="235" t="s">
        <v>189</v>
      </c>
      <c r="G12" s="385"/>
      <c r="H12" s="386"/>
      <c r="I12" s="386"/>
      <c r="J12" s="386"/>
      <c r="K12" s="386"/>
      <c r="L12" s="386"/>
      <c r="M12" s="386"/>
      <c r="N12" s="387"/>
      <c r="O12" s="233"/>
      <c r="P12" s="233"/>
      <c r="Q12" s="233"/>
      <c r="R12" s="233"/>
      <c r="S12" s="233"/>
      <c r="T12" s="233"/>
    </row>
    <row r="13" spans="2:20">
      <c r="C13" s="216" t="s">
        <v>281</v>
      </c>
      <c r="D13" s="236" t="str">
        <f>Field!D8</f>
        <v>Pasture/Turf</v>
      </c>
      <c r="E13" s="237"/>
      <c r="G13" s="385"/>
      <c r="H13" s="386"/>
      <c r="I13" s="386"/>
      <c r="J13" s="386"/>
      <c r="K13" s="386"/>
      <c r="L13" s="386"/>
      <c r="M13" s="386"/>
      <c r="N13" s="387"/>
      <c r="O13" s="233"/>
      <c r="P13" s="233"/>
      <c r="Q13" s="233"/>
      <c r="R13" s="233"/>
      <c r="S13" s="233"/>
      <c r="T13" s="233"/>
    </row>
    <row r="14" spans="2:20">
      <c r="C14" s="219"/>
      <c r="D14" s="222"/>
      <c r="E14" s="223"/>
      <c r="G14" s="388"/>
      <c r="H14" s="389"/>
      <c r="I14" s="389"/>
      <c r="J14" s="389"/>
      <c r="K14" s="389"/>
      <c r="L14" s="389"/>
      <c r="M14" s="389"/>
      <c r="N14" s="390"/>
      <c r="O14" s="238"/>
      <c r="P14" s="238"/>
      <c r="Q14" s="238"/>
      <c r="R14" s="238"/>
      <c r="S14" s="238"/>
      <c r="T14" s="238"/>
    </row>
    <row r="15" spans="2:20">
      <c r="C15" s="219"/>
      <c r="D15" s="222"/>
      <c r="E15" s="223"/>
      <c r="G15" s="224"/>
      <c r="H15" s="225"/>
      <c r="I15" s="225"/>
      <c r="J15" s="225"/>
      <c r="K15" s="225"/>
      <c r="L15" s="225"/>
      <c r="M15" s="225"/>
      <c r="N15" s="226"/>
      <c r="O15" s="227"/>
      <c r="P15" s="227"/>
      <c r="Q15" s="227"/>
      <c r="R15" s="227"/>
      <c r="S15" s="227"/>
      <c r="T15" s="227"/>
    </row>
    <row r="16" spans="2:20">
      <c r="B16" s="8" t="s">
        <v>282</v>
      </c>
      <c r="C16" s="228" t="s">
        <v>283</v>
      </c>
      <c r="D16" s="239" t="str">
        <f>Field!D16</f>
        <v>gated pipe</v>
      </c>
      <c r="E16" s="240"/>
      <c r="G16" s="368" t="str">
        <f>Seasonal!N16</f>
        <v>Even grade field: is a good foundation for effective irrigation. It's important that this is matched with a consistent, well marked furrow pattern.</v>
      </c>
      <c r="H16" s="383"/>
      <c r="I16" s="383"/>
      <c r="J16" s="383"/>
      <c r="K16" s="383"/>
      <c r="L16" s="383"/>
      <c r="M16" s="383"/>
      <c r="N16" s="384"/>
      <c r="O16" s="233"/>
      <c r="P16" s="233"/>
      <c r="Q16" s="233"/>
      <c r="R16" s="233"/>
      <c r="S16" s="233"/>
      <c r="T16" s="233"/>
    </row>
    <row r="17" spans="2:20">
      <c r="C17" s="153" t="s">
        <v>284</v>
      </c>
      <c r="D17" s="241">
        <f>Snapshot!O27</f>
        <v>0.33970762069186211</v>
      </c>
      <c r="E17" s="83"/>
      <c r="G17" s="388"/>
      <c r="H17" s="389"/>
      <c r="I17" s="389"/>
      <c r="J17" s="389"/>
      <c r="K17" s="389"/>
      <c r="L17" s="389"/>
      <c r="M17" s="389"/>
      <c r="N17" s="390"/>
      <c r="O17" s="233"/>
      <c r="P17" s="233"/>
      <c r="Q17" s="233"/>
      <c r="R17" s="233"/>
      <c r="S17" s="233"/>
      <c r="T17" s="233"/>
    </row>
    <row r="18" spans="2:20" ht="12.75" customHeight="1">
      <c r="C18" s="153" t="s">
        <v>285</v>
      </c>
      <c r="D18" s="241">
        <f>Field!C34</f>
        <v>1</v>
      </c>
      <c r="E18" s="83"/>
      <c r="G18" s="368" t="str">
        <f>Seasonal!N18</f>
        <v>Well designed and maintained furrows: compliments an evenly graded field as the basis for maximizing the returns on your irrigation management.</v>
      </c>
      <c r="H18" s="383"/>
      <c r="I18" s="383"/>
      <c r="J18" s="383"/>
      <c r="K18" s="383"/>
      <c r="L18" s="383"/>
      <c r="M18" s="383"/>
      <c r="N18" s="384"/>
      <c r="O18" s="233"/>
      <c r="P18" s="233"/>
      <c r="Q18" s="233"/>
      <c r="R18" s="233"/>
      <c r="S18" s="233"/>
      <c r="T18" s="233"/>
    </row>
    <row r="19" spans="2:20" ht="12.75" customHeight="1">
      <c r="C19" s="216" t="s">
        <v>286</v>
      </c>
      <c r="D19" s="242">
        <f>Seasonal!C33</f>
        <v>0.49892536130612847</v>
      </c>
      <c r="E19" s="237"/>
      <c r="G19" s="388"/>
      <c r="H19" s="389"/>
      <c r="I19" s="389"/>
      <c r="J19" s="389"/>
      <c r="K19" s="389"/>
      <c r="L19" s="389"/>
      <c r="M19" s="389"/>
      <c r="N19" s="390"/>
      <c r="O19" s="233"/>
      <c r="P19" s="233"/>
      <c r="Q19" s="233"/>
      <c r="R19" s="233"/>
      <c r="S19" s="233"/>
      <c r="T19" s="233"/>
    </row>
    <row r="20" spans="2:20" ht="12.75" customHeight="1">
      <c r="C20" s="219"/>
      <c r="D20" s="243"/>
      <c r="E20" s="223"/>
      <c r="G20" s="368" t="str">
        <f>Seasonal!N21</f>
        <v>Poor DU (&lt;50%) could be a result of too much flow. Recommendation: try cutting back water after advancing.</v>
      </c>
      <c r="H20" s="383"/>
      <c r="I20" s="383"/>
      <c r="J20" s="383"/>
      <c r="K20" s="383"/>
      <c r="L20" s="383"/>
      <c r="M20" s="383"/>
      <c r="N20" s="384"/>
      <c r="O20" s="238"/>
      <c r="P20" s="238"/>
      <c r="Q20" s="238"/>
      <c r="R20" s="238"/>
      <c r="S20" s="238"/>
      <c r="T20" s="238"/>
    </row>
    <row r="21" spans="2:20" ht="12.75" customHeight="1">
      <c r="C21" s="219"/>
      <c r="D21" s="222"/>
      <c r="E21" s="223"/>
      <c r="G21" s="388"/>
      <c r="H21" s="389"/>
      <c r="I21" s="389"/>
      <c r="J21" s="389"/>
      <c r="K21" s="389"/>
      <c r="L21" s="389"/>
      <c r="M21" s="389"/>
      <c r="N21" s="390"/>
      <c r="O21" s="238"/>
      <c r="P21" s="238"/>
      <c r="Q21" s="238"/>
      <c r="R21" s="238"/>
      <c r="S21" s="238"/>
      <c r="T21" s="238"/>
    </row>
    <row r="22" spans="2:20">
      <c r="B22" s="8" t="s">
        <v>287</v>
      </c>
      <c r="C22" s="228" t="s">
        <v>288</v>
      </c>
      <c r="D22" s="229">
        <f>Field!C32</f>
        <v>4.9801001684047863</v>
      </c>
      <c r="E22" s="240" t="s">
        <v>289</v>
      </c>
      <c r="G22" s="368" t="str">
        <f>Seasonal!N28</f>
        <v>Seasonal Irrigation Efficiency is good. Continue to monitor soil moisture and local ET values to enhance your irrigation management.</v>
      </c>
      <c r="H22" s="369"/>
      <c r="I22" s="369"/>
      <c r="J22" s="369"/>
      <c r="K22" s="369"/>
      <c r="L22" s="369"/>
      <c r="M22" s="369"/>
      <c r="N22" s="370"/>
      <c r="O22" s="233"/>
      <c r="P22" s="233"/>
      <c r="Q22" s="233"/>
      <c r="R22" s="233"/>
      <c r="S22" s="233"/>
      <c r="T22" s="233"/>
    </row>
    <row r="23" spans="2:20">
      <c r="C23" s="153" t="s">
        <v>290</v>
      </c>
      <c r="D23" s="232">
        <f>Field!C23</f>
        <v>24</v>
      </c>
      <c r="E23" s="83" t="s">
        <v>291</v>
      </c>
      <c r="G23" s="391"/>
      <c r="H23" s="392"/>
      <c r="I23" s="392"/>
      <c r="J23" s="392"/>
      <c r="K23" s="392"/>
      <c r="L23" s="392"/>
      <c r="M23" s="392"/>
      <c r="N23" s="393"/>
      <c r="O23" s="244"/>
      <c r="P23" s="244"/>
      <c r="Q23" s="244"/>
      <c r="R23" s="244"/>
      <c r="S23" s="244"/>
      <c r="T23" s="244"/>
    </row>
    <row r="24" spans="2:20">
      <c r="C24" s="153" t="s">
        <v>292</v>
      </c>
      <c r="D24" s="234">
        <f>Field!C33</f>
        <v>2.6815923983718077</v>
      </c>
      <c r="E24" s="83" t="s">
        <v>289</v>
      </c>
      <c r="G24" s="368" t="str">
        <f>Seasonal!N35</f>
        <v/>
      </c>
      <c r="H24" s="369"/>
      <c r="I24" s="369"/>
      <c r="J24" s="369"/>
      <c r="K24" s="369"/>
      <c r="L24" s="369"/>
      <c r="M24" s="369"/>
      <c r="N24" s="370"/>
      <c r="O24" s="227"/>
      <c r="P24" s="227"/>
      <c r="Q24" s="227"/>
      <c r="R24" s="227"/>
      <c r="S24" s="227"/>
      <c r="T24" s="227"/>
    </row>
    <row r="25" spans="2:20" ht="15.75" thickBot="1">
      <c r="C25" s="155" t="s">
        <v>293</v>
      </c>
      <c r="D25" s="394">
        <f>Field!D38</f>
        <v>936214.92537313455</v>
      </c>
      <c r="E25" s="245" t="s">
        <v>84</v>
      </c>
      <c r="G25" s="371"/>
      <c r="H25" s="372"/>
      <c r="I25" s="372"/>
      <c r="J25" s="372"/>
      <c r="K25" s="372"/>
      <c r="L25" s="372"/>
      <c r="M25" s="372"/>
      <c r="N25" s="373"/>
      <c r="O25" s="244"/>
      <c r="P25" s="244"/>
      <c r="Q25" s="244"/>
      <c r="R25" s="244"/>
      <c r="S25" s="244"/>
      <c r="T25" s="244"/>
    </row>
    <row r="28" spans="2:20">
      <c r="G28" s="9" t="s">
        <v>294</v>
      </c>
    </row>
    <row r="34" spans="7:7">
      <c r="G34" s="246" t="s">
        <v>295</v>
      </c>
    </row>
    <row r="35" spans="7:7">
      <c r="G35" s="246" t="s">
        <v>296</v>
      </c>
    </row>
  </sheetData>
  <mergeCells count="7">
    <mergeCell ref="G24:N25"/>
    <mergeCell ref="G6:N8"/>
    <mergeCell ref="G11:N14"/>
    <mergeCell ref="G16:N17"/>
    <mergeCell ref="G18:N19"/>
    <mergeCell ref="G20:N21"/>
    <mergeCell ref="G22:N2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B2:C6"/>
  <sheetViews>
    <sheetView workbookViewId="0">
      <selection activeCell="B6" sqref="B6"/>
    </sheetView>
  </sheetViews>
  <sheetFormatPr defaultRowHeight="15"/>
  <sheetData>
    <row r="2" spans="2:3">
      <c r="B2">
        <v>43560</v>
      </c>
      <c r="C2" t="s">
        <v>297</v>
      </c>
    </row>
    <row r="3" spans="2:3">
      <c r="B3">
        <v>7.48</v>
      </c>
      <c r="C3" t="s">
        <v>298</v>
      </c>
    </row>
    <row r="4" spans="2:3">
      <c r="B4">
        <v>325851.38500000001</v>
      </c>
      <c r="C4" t="s">
        <v>299</v>
      </c>
    </row>
    <row r="5" spans="2:3">
      <c r="B5">
        <f>gal_cuft*60</f>
        <v>448.8</v>
      </c>
      <c r="C5" t="s">
        <v>300</v>
      </c>
    </row>
    <row r="6" spans="2:3">
      <c r="B6">
        <f>gal_acft/12</f>
        <v>27154.282083333335</v>
      </c>
      <c r="C6"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Field</vt:lpstr>
      <vt:lpstr>Snapshot</vt:lpstr>
      <vt:lpstr>Bucket</vt:lpstr>
      <vt:lpstr>Seasonal</vt:lpstr>
      <vt:lpstr>Report</vt:lpstr>
      <vt:lpstr>Conversions</vt:lpstr>
      <vt:lpstr>bucket</vt:lpstr>
      <vt:lpstr>conv1</vt:lpstr>
      <vt:lpstr>conv2</vt:lpstr>
      <vt:lpstr>gal_cuft</vt:lpstr>
      <vt:lpstr>Report!Print_Area</vt:lpstr>
      <vt:lpstr>Qerr</vt:lpstr>
      <vt:lpstr>TOTgpm</vt:lpstr>
      <vt:lpstr>TotQ</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dc:creator>
  <cp:lastModifiedBy>csu</cp:lastModifiedBy>
  <dcterms:created xsi:type="dcterms:W3CDTF">2010-09-30T15:56:39Z</dcterms:created>
  <dcterms:modified xsi:type="dcterms:W3CDTF">2010-11-02T20:51:31Z</dcterms:modified>
</cp:coreProperties>
</file>