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5" windowWidth="20955" windowHeight="9465"/>
  </bookViews>
  <sheets>
    <sheet name="Field" sheetId="5" r:id="rId1"/>
    <sheet name="Snapshot" sheetId="2" r:id="rId2"/>
    <sheet name="Seasonal" sheetId="3" r:id="rId3"/>
    <sheet name="Report" sheetId="4" r:id="rId4"/>
    <sheet name="Conversions" sheetId="1" r:id="rId5"/>
  </sheets>
  <externalReferences>
    <externalReference r:id="rId6"/>
  </externalReferences>
  <definedNames>
    <definedName name="CanSA">Snapshot!$I$22</definedName>
    <definedName name="gal_acft">[1]Conversions!$B$4</definedName>
    <definedName name="gal_cuft">Conversions!$B$3</definedName>
    <definedName name="gpm_cfs">[1]Conversions!$B$5</definedName>
    <definedName name="mm_in3">[1]Conversions!$B$8</definedName>
    <definedName name="_xlnm.Print_Area" localSheetId="3">Report!$B$2:$N$35</definedName>
    <definedName name="Qerr">Field!$H$26</definedName>
    <definedName name="sqft_ac">[1]Conversions!$B$2</definedName>
    <definedName name="TotQ">Field!$C$16</definedName>
  </definedNames>
  <calcPr calcId="144525"/>
</workbook>
</file>

<file path=xl/calcChain.xml><?xml version="1.0" encoding="utf-8"?>
<calcChain xmlns="http://schemas.openxmlformats.org/spreadsheetml/2006/main">
  <c r="D16" i="4" l="1"/>
  <c r="B7" i="1"/>
  <c r="B6" i="1"/>
  <c r="B5" i="1"/>
  <c r="D25" i="4"/>
  <c r="G24" i="4"/>
  <c r="D24" i="4"/>
  <c r="D23" i="4"/>
  <c r="G22" i="4"/>
  <c r="D22" i="4"/>
  <c r="G20" i="4"/>
  <c r="D19" i="4"/>
  <c r="G18" i="4"/>
  <c r="D18" i="4"/>
  <c r="D17" i="4"/>
  <c r="G16" i="4"/>
  <c r="D13" i="4"/>
  <c r="D12" i="4"/>
  <c r="G11" i="4"/>
  <c r="D11" i="4"/>
  <c r="D10" i="4"/>
  <c r="AL41" i="3"/>
  <c r="AL40" i="3"/>
  <c r="E36" i="3"/>
  <c r="AF35" i="3"/>
  <c r="AC35" i="3"/>
  <c r="E35" i="3"/>
  <c r="AF34" i="3"/>
  <c r="AC34" i="3"/>
  <c r="AF33" i="3"/>
  <c r="AC33" i="3"/>
  <c r="Z33" i="3"/>
  <c r="AF32" i="3"/>
  <c r="AC32" i="3"/>
  <c r="Z32" i="3"/>
  <c r="AF31" i="3"/>
  <c r="AC31" i="3"/>
  <c r="AF30" i="3"/>
  <c r="AC30" i="3"/>
  <c r="Z30" i="3"/>
  <c r="AF29" i="3"/>
  <c r="AC29" i="3"/>
  <c r="Z29" i="3"/>
  <c r="AF28" i="3"/>
  <c r="AC28" i="3"/>
  <c r="Z28" i="3"/>
  <c r="AF27" i="3"/>
  <c r="AC27" i="3"/>
  <c r="Z27" i="3"/>
  <c r="AF26" i="3"/>
  <c r="AC26" i="3"/>
  <c r="AF25" i="3"/>
  <c r="AC25" i="3"/>
  <c r="D25" i="3"/>
  <c r="C24" i="3"/>
  <c r="D22" i="3"/>
  <c r="D21" i="3"/>
  <c r="D20" i="3"/>
  <c r="C20" i="3"/>
  <c r="N16" i="3"/>
  <c r="C14" i="3"/>
  <c r="N12" i="3"/>
  <c r="C12" i="3"/>
  <c r="C34" i="3" s="1"/>
  <c r="C7" i="3"/>
  <c r="A4" i="3"/>
  <c r="C3" i="3"/>
  <c r="F31" i="2"/>
  <c r="T27" i="2"/>
  <c r="R27" i="2"/>
  <c r="E27" i="2"/>
  <c r="E63" i="2" s="1"/>
  <c r="C27" i="2"/>
  <c r="T26" i="2"/>
  <c r="R26" i="2"/>
  <c r="E26" i="2"/>
  <c r="C26" i="2"/>
  <c r="U24" i="2"/>
  <c r="T24" i="2"/>
  <c r="R24" i="2"/>
  <c r="F24" i="2"/>
  <c r="E24" i="2"/>
  <c r="C24" i="2"/>
  <c r="U23" i="2"/>
  <c r="F23" i="2"/>
  <c r="I22" i="2"/>
  <c r="U21" i="2"/>
  <c r="F21" i="2"/>
  <c r="U20" i="2"/>
  <c r="I20" i="2"/>
  <c r="F20" i="2"/>
  <c r="Z19" i="2"/>
  <c r="X19" i="2"/>
  <c r="K19" i="2"/>
  <c r="I19" i="2"/>
  <c r="Z18" i="2"/>
  <c r="X18" i="2"/>
  <c r="K18" i="2"/>
  <c r="I18" i="2"/>
  <c r="Z17" i="2"/>
  <c r="X17" i="2"/>
  <c r="K17" i="2"/>
  <c r="I17" i="2"/>
  <c r="Z16" i="2"/>
  <c r="X16" i="2"/>
  <c r="K16" i="2"/>
  <c r="I16" i="2"/>
  <c r="Z15" i="2"/>
  <c r="X15" i="2"/>
  <c r="K15" i="2"/>
  <c r="I15" i="2"/>
  <c r="Z14" i="2"/>
  <c r="X14" i="2"/>
  <c r="K14" i="2"/>
  <c r="F63" i="2" s="1"/>
  <c r="I14" i="2"/>
  <c r="C63" i="2" s="1"/>
  <c r="Z13" i="2"/>
  <c r="X13" i="2"/>
  <c r="K13" i="2"/>
  <c r="F62" i="2" s="1"/>
  <c r="I13" i="2"/>
  <c r="C62" i="2" s="1"/>
  <c r="Z12" i="2"/>
  <c r="X12" i="2"/>
  <c r="K12" i="2"/>
  <c r="F61" i="2" s="1"/>
  <c r="I12" i="2"/>
  <c r="C61" i="2" s="1"/>
  <c r="Z11" i="2"/>
  <c r="X11" i="2"/>
  <c r="K11" i="2"/>
  <c r="F60" i="2" s="1"/>
  <c r="I11" i="2"/>
  <c r="C60" i="2" s="1"/>
  <c r="Z10" i="2"/>
  <c r="X10" i="2"/>
  <c r="K10" i="2"/>
  <c r="F59" i="2" s="1"/>
  <c r="I10" i="2"/>
  <c r="C59" i="2" s="1"/>
  <c r="Z9" i="2"/>
  <c r="X9" i="2"/>
  <c r="K9" i="2"/>
  <c r="F58" i="2" s="1"/>
  <c r="I9" i="2"/>
  <c r="C58" i="2" s="1"/>
  <c r="Z8" i="2"/>
  <c r="X8" i="2"/>
  <c r="K8" i="2"/>
  <c r="F57" i="2" s="1"/>
  <c r="I8" i="2"/>
  <c r="C57" i="2" s="1"/>
  <c r="Z7" i="2"/>
  <c r="Z24" i="2" s="1"/>
  <c r="T29" i="2" s="1"/>
  <c r="X7" i="2"/>
  <c r="K7" i="2"/>
  <c r="F56" i="2" s="1"/>
  <c r="I7" i="2"/>
  <c r="C56" i="2" s="1"/>
  <c r="Z6" i="2"/>
  <c r="X6" i="2"/>
  <c r="K6" i="2"/>
  <c r="F55" i="2" s="1"/>
  <c r="I6" i="2"/>
  <c r="C55" i="2" s="1"/>
  <c r="Z5" i="2"/>
  <c r="Z27" i="2" s="1"/>
  <c r="X5" i="2"/>
  <c r="X27" i="2" s="1"/>
  <c r="K5" i="2"/>
  <c r="F54" i="2" s="1"/>
  <c r="F64" i="2" s="1"/>
  <c r="F66" i="2" s="1"/>
  <c r="I5" i="2"/>
  <c r="C54" i="2" s="1"/>
  <c r="C64" i="2" s="1"/>
  <c r="AH40" i="5"/>
  <c r="AG40" i="5"/>
  <c r="AB30" i="5"/>
  <c r="AH39" i="5"/>
  <c r="D23" i="5"/>
  <c r="AH37" i="5"/>
  <c r="C21" i="5"/>
  <c r="C19" i="5"/>
  <c r="AG32" i="5"/>
  <c r="AG33" i="5" s="1"/>
  <c r="AG31" i="5"/>
  <c r="Z12" i="5"/>
  <c r="D12" i="5"/>
  <c r="Z9" i="5"/>
  <c r="E9" i="5"/>
  <c r="E8" i="5"/>
  <c r="M8" i="5" s="1"/>
  <c r="D6" i="5"/>
  <c r="X5" i="5"/>
  <c r="W2" i="5"/>
  <c r="E28" i="2" l="1"/>
  <c r="R28" i="2"/>
  <c r="U28" i="2"/>
  <c r="C5" i="3"/>
  <c r="AA24" i="2"/>
  <c r="U29" i="2" s="1"/>
  <c r="C28" i="2"/>
  <c r="F28" i="2"/>
  <c r="F36" i="2" s="1"/>
  <c r="T28" i="2"/>
  <c r="N20" i="3"/>
  <c r="E6" i="3"/>
  <c r="E5" i="3"/>
  <c r="N3" i="3" s="1"/>
  <c r="N26" i="3"/>
  <c r="C31" i="3"/>
  <c r="F34" i="2"/>
  <c r="I24" i="2"/>
  <c r="C29" i="2" s="1"/>
  <c r="L24" i="2"/>
  <c r="F29" i="2" s="1"/>
  <c r="X24" i="2"/>
  <c r="R29" i="2" s="1"/>
  <c r="K27" i="2"/>
  <c r="F32" i="2"/>
  <c r="F33" i="2" s="1"/>
  <c r="E54" i="2"/>
  <c r="E56" i="2"/>
  <c r="E58" i="2"/>
  <c r="E60" i="2"/>
  <c r="E62" i="2"/>
  <c r="K24" i="2"/>
  <c r="E29" i="2" s="1"/>
  <c r="I27" i="2"/>
  <c r="E55" i="2"/>
  <c r="E57" i="2"/>
  <c r="E59" i="2"/>
  <c r="E61" i="2"/>
  <c r="D10" i="5"/>
  <c r="D27" i="5" s="1"/>
  <c r="D28" i="5" s="1"/>
  <c r="E6" i="5"/>
  <c r="AG41" i="5"/>
  <c r="AG42" i="5" s="1"/>
  <c r="D24" i="5" s="1"/>
  <c r="M9" i="5"/>
  <c r="M12" i="5"/>
  <c r="F35" i="2" l="1"/>
  <c r="D13" i="5"/>
  <c r="C33" i="3"/>
  <c r="C32" i="3"/>
  <c r="E64" i="2"/>
  <c r="E66" i="2" s="1"/>
  <c r="C66" i="2"/>
  <c r="D26" i="5"/>
  <c r="M6" i="5"/>
  <c r="AG35" i="5"/>
  <c r="AG36" i="5" s="1"/>
  <c r="C35" i="3" l="1"/>
  <c r="AI32" i="5"/>
  <c r="AG37" i="5"/>
  <c r="B37" i="3" l="1"/>
  <c r="N37" i="3"/>
  <c r="N30" i="3"/>
  <c r="AG39" i="5"/>
  <c r="AG38" i="5"/>
  <c r="I28" i="5" l="1"/>
  <c r="H28" i="5"/>
  <c r="D29" i="5"/>
</calcChain>
</file>

<file path=xl/sharedStrings.xml><?xml version="1.0" encoding="utf-8"?>
<sst xmlns="http://schemas.openxmlformats.org/spreadsheetml/2006/main" count="397" uniqueCount="306">
  <si>
    <t>SMALL ACREAGE IRRIGATION AUDIT</t>
  </si>
  <si>
    <t>man/auto?</t>
  </si>
  <si>
    <t>Qunits?</t>
  </si>
  <si>
    <t>efficiency penalty</t>
  </si>
  <si>
    <t>Side Roll Sprinkler</t>
  </si>
  <si>
    <t>GVIC</t>
  </si>
  <si>
    <t xml:space="preserve">manual </t>
  </si>
  <si>
    <t>gpm</t>
  </si>
  <si>
    <t>table</t>
  </si>
  <si>
    <t>cfs</t>
  </si>
  <si>
    <t>Table</t>
  </si>
  <si>
    <t>Manual</t>
  </si>
  <si>
    <t>Calc unit</t>
  </si>
  <si>
    <t>GVWUA</t>
  </si>
  <si>
    <t>Land</t>
  </si>
  <si>
    <t>Audit area acres</t>
  </si>
  <si>
    <t>sq-ft</t>
  </si>
  <si>
    <t>ac</t>
  </si>
  <si>
    <t>source&gt;&gt;</t>
  </si>
  <si>
    <t>OMID</t>
  </si>
  <si>
    <t>RamDhan</t>
  </si>
  <si>
    <t>Throw?</t>
  </si>
  <si>
    <t>Redlands</t>
  </si>
  <si>
    <t>None</t>
  </si>
  <si>
    <t>Crop</t>
  </si>
  <si>
    <t>Pasture/Turf</t>
  </si>
  <si>
    <t>in. root depth</t>
  </si>
  <si>
    <t>- OR -</t>
  </si>
  <si>
    <t>ft</t>
  </si>
  <si>
    <t>Ute</t>
  </si>
  <si>
    <t>Soil Type</t>
  </si>
  <si>
    <t>Silt Loam</t>
  </si>
  <si>
    <t>in/ft</t>
  </si>
  <si>
    <t>Well Water</t>
  </si>
  <si>
    <t>Root Zone WHC</t>
  </si>
  <si>
    <t>in</t>
  </si>
  <si>
    <t>Private Well</t>
  </si>
  <si>
    <t>PreIrrig Moisture</t>
  </si>
  <si>
    <t>%</t>
  </si>
  <si>
    <t>MAD</t>
  </si>
  <si>
    <t>Siphon Tube Discharge (gpm)</t>
  </si>
  <si>
    <t>Root Zone MAD</t>
  </si>
  <si>
    <t>head in&gt;</t>
  </si>
  <si>
    <t>Contact:</t>
  </si>
  <si>
    <t>Denis Reich</t>
  </si>
  <si>
    <t>Water Resources Specialist</t>
  </si>
  <si>
    <t>970-242-8683</t>
  </si>
  <si>
    <t>970-201-8467</t>
  </si>
  <si>
    <t>Denis.Reich@Colostate.edu</t>
  </si>
  <si>
    <t>Application</t>
  </si>
  <si>
    <t>pipe dia (in)</t>
  </si>
  <si>
    <t>to field</t>
  </si>
  <si>
    <t>pipe</t>
  </si>
  <si>
    <t>hrs of set</t>
  </si>
  <si>
    <t>Qin(set)</t>
  </si>
  <si>
    <t>gal</t>
  </si>
  <si>
    <t>ft throw for heads</t>
  </si>
  <si>
    <t>ac-ft</t>
  </si>
  <si>
    <t>ft of effective irrigation width</t>
  </si>
  <si>
    <t>heads (#) on length of roll</t>
  </si>
  <si>
    <t>IrrigA</t>
  </si>
  <si>
    <t>Root Zone Depths and Management Allowable Depletion for Selected Crops</t>
  </si>
  <si>
    <t>ft long side-roll</t>
  </si>
  <si>
    <t>http://www.usbr.gov/pn/agrimet/irrigation.html#Root</t>
  </si>
  <si>
    <t>Results</t>
  </si>
  <si>
    <t>IrrigQ(set)</t>
  </si>
  <si>
    <t>The plant root zone determines the soil depth from which the crop can draw moisture. This table shows the root zones that mature crops depend on for 90% of their water needs, and the percent of total available moisture that crops can withdraw without suffering stress or yield loss. This percent is also referred to as "Management Allowed Depletion", or MAD.</t>
  </si>
  <si>
    <t>DU</t>
  </si>
  <si>
    <t>DU filter:</t>
  </si>
  <si>
    <t>IrrigQhr</t>
  </si>
  <si>
    <t>ft per hr</t>
  </si>
  <si>
    <t>Field Effic</t>
  </si>
  <si>
    <t>% err allowed</t>
  </si>
  <si>
    <t>IrrigInch</t>
  </si>
  <si>
    <t>Root Zone*</t>
  </si>
  <si>
    <t>Time to Reach</t>
  </si>
  <si>
    <t>Allowable</t>
  </si>
  <si>
    <t>hay crop?</t>
  </si>
  <si>
    <t>Lower</t>
  </si>
  <si>
    <t>Upper</t>
  </si>
  <si>
    <t>InchCheck</t>
  </si>
  <si>
    <t xml:space="preserve">(ft) </t>
  </si>
  <si>
    <t>Mature Root Zone</t>
  </si>
  <si>
    <t>Depletion (%)</t>
  </si>
  <si>
    <t>Min IrrigQ</t>
  </si>
  <si>
    <t>field inches per set</t>
  </si>
  <si>
    <t>gpm/ac</t>
  </si>
  <si>
    <t>Alfalfa</t>
  </si>
  <si>
    <t>Max IrrigQ</t>
  </si>
  <si>
    <t>Qcheck</t>
  </si>
  <si>
    <t>Excess IrrigQ</t>
  </si>
  <si>
    <t>Small Grains</t>
  </si>
  <si>
    <t>heading</t>
  </si>
  <si>
    <t>Irrigation Eff</t>
  </si>
  <si>
    <t>Beans</t>
  </si>
  <si>
    <t>50 days after plant</t>
  </si>
  <si>
    <t>Corn</t>
  </si>
  <si>
    <t>10 days after tassel</t>
  </si>
  <si>
    <t>Orchard</t>
  </si>
  <si>
    <t>* Orchard listed as "50-65" MAD</t>
  </si>
  <si>
    <t>Grapes</t>
  </si>
  <si>
    <t>*Root zones can be limited by shallow soils, compaction layers and dry soil. </t>
  </si>
  <si>
    <t>Soil Water Storage Capacities</t>
  </si>
  <si>
    <t>The texture of soil to be irrigated is very important in determining when and how much to irrigate. This table lists the abilities of different soil types to store and make water available to plants.</t>
  </si>
  <si>
    <t>Soil</t>
  </si>
  <si>
    <t>Available</t>
  </si>
  <si>
    <t>Moisture</t>
  </si>
  <si>
    <t>General Description</t>
  </si>
  <si>
    <t>Texture Class</t>
  </si>
  <si>
    <t>per foot</t>
  </si>
  <si>
    <t>Light, Sandy</t>
  </si>
  <si>
    <t>Coarse Sand</t>
  </si>
  <si>
    <t>0.7 inches</t>
  </si>
  <si>
    <t>Fine Sand</t>
  </si>
  <si>
    <t>Sandy Loam</t>
  </si>
  <si>
    <t>Fine Sandy Loam</t>
  </si>
  <si>
    <t>Medium,</t>
  </si>
  <si>
    <t>S-C Loam</t>
  </si>
  <si>
    <t>Loam</t>
  </si>
  <si>
    <t>Loam </t>
  </si>
  <si>
    <t>Heavy, Clay</t>
  </si>
  <si>
    <t>Clay Loam</t>
  </si>
  <si>
    <t>Clays; Peats/Mucks</t>
  </si>
  <si>
    <t>*Values are for deep, uniform soil profiles. Layering or changes in soil texture within the profile may increase or decrease effective available water.</t>
  </si>
  <si>
    <t>Inside Arm</t>
  </si>
  <si>
    <t>Outside Arm (opposite side)</t>
  </si>
  <si>
    <t>mins</t>
  </si>
  <si>
    <t>1. Catch Can Volumes (mm)</t>
  </si>
  <si>
    <t>2. Lower Quartile Can Volumes (mm)</t>
  </si>
  <si>
    <t>3. Catch Can Volumes (mm)</t>
  </si>
  <si>
    <t>4. Lower Quartile Can Volumes (mm)</t>
  </si>
  <si>
    <t>end nozzle</t>
  </si>
  <si>
    <t>&lt; 1/2 throw</t>
  </si>
  <si>
    <t>&gt;1/2 throw</t>
  </si>
  <si>
    <t>normal nozzle</t>
  </si>
  <si>
    <t>Duration</t>
  </si>
  <si>
    <t>Throat diam</t>
  </si>
  <si>
    <t>End Coverage</t>
  </si>
  <si>
    <t>Throat CSA</t>
  </si>
  <si>
    <t>sq-in</t>
  </si>
  <si>
    <t>AVG</t>
  </si>
  <si>
    <t>BotQuart</t>
  </si>
  <si>
    <t>Count</t>
  </si>
  <si>
    <t>App Rate</t>
  </si>
  <si>
    <t>&lt; in/hr &gt;</t>
  </si>
  <si>
    <t>Inside DU's</t>
  </si>
  <si>
    <t>Overall Avg</t>
  </si>
  <si>
    <t>Overall Bott Avg</t>
  </si>
  <si>
    <t>in/hr</t>
  </si>
  <si>
    <t>Var PR</t>
  </si>
  <si>
    <t>Var PR(In,Out)</t>
  </si>
  <si>
    <t>Top</t>
  </si>
  <si>
    <t>Bottom</t>
  </si>
  <si>
    <t>ET=perc</t>
  </si>
  <si>
    <t>Soils</t>
  </si>
  <si>
    <t>http://websoilsurvey.nrcs.usda.gov/app/HomePage.htm</t>
  </si>
  <si>
    <t>Definition</t>
  </si>
  <si>
    <t>Analysis and Recommendations</t>
  </si>
  <si>
    <t>IR = Infiltration Rate or velocity at which water percolates into the soil. When the soil is in good condition or has good soil health, it has stable structure and continuous pores to the surface. This allows water from rainfall or irrigation to enter unimpeded. Soil can be a excellent temporary storage medium for water, depending on the type and condition of the soil. Proper management of the soil can help maximize infiltration and capture as much water as allowed by a specific soil type.</t>
  </si>
  <si>
    <t>Soil Texture, Type</t>
  </si>
  <si>
    <t>IR Infil rate (in/hr)</t>
  </si>
  <si>
    <t>none</t>
  </si>
  <si>
    <t>laser levelled</t>
  </si>
  <si>
    <t>&lt;weekly</t>
  </si>
  <si>
    <t>variable type</t>
  </si>
  <si>
    <r>
      <t>Sub-optimum infiltration</t>
    </r>
    <r>
      <rPr>
        <b/>
        <sz val="10"/>
        <color indexed="53"/>
        <rFont val="Arial"/>
        <family val="2"/>
      </rPr>
      <t>:</t>
    </r>
    <r>
      <rPr>
        <b/>
        <sz val="10"/>
        <rFont val="Arial"/>
        <family val="2"/>
      </rPr>
      <t xml:space="preserve"> </t>
    </r>
    <r>
      <rPr>
        <sz val="10"/>
        <rFont val="Arial"/>
        <family val="2"/>
      </rPr>
      <t>means there is a risk that the majority of water is running off the field and minimal water is contributing to crop growth. Symptoms of sub-optimal infiltration are ponding and localized flooding problems, mosquito outbreaks, soil erosion, fertilizer loss, and reduced yields. Recomendations: 1. reduce compaction by following the same wheel ruts; 2. maintain plant matter or use cover crops; 3. add organic matter which can be done by reducing tillage operations (which also reduces trips accross the field).</t>
    </r>
  </si>
  <si>
    <t>Slope</t>
  </si>
  <si>
    <t>0-4%</t>
  </si>
  <si>
    <t>5-8%</t>
  </si>
  <si>
    <t>reasonably level</t>
  </si>
  <si>
    <t>weekly</t>
  </si>
  <si>
    <t>connections loose</t>
  </si>
  <si>
    <r>
      <t xml:space="preserve">Optimum or </t>
    </r>
    <r>
      <rPr>
        <sz val="10"/>
        <color indexed="53"/>
        <rFont val="Arial"/>
        <family val="2"/>
      </rPr>
      <t xml:space="preserve">above optimum </t>
    </r>
    <r>
      <rPr>
        <sz val="11"/>
        <color theme="1"/>
        <rFont val="Calibri"/>
        <family val="2"/>
        <scheme val="minor"/>
      </rPr>
      <t>infiltration: soils are well maintained. Check measurements for above optimum flows and be careful that deep percolation and/or groundwater flows are not interferring with neighboring irrigation water management or river basin salinity problems.</t>
    </r>
  </si>
  <si>
    <t>Standard IR</t>
  </si>
  <si>
    <t>in-hr</t>
  </si>
  <si>
    <t>somehwat uneven</t>
  </si>
  <si>
    <t>1-2 weekly</t>
  </si>
  <si>
    <t>throw unlevel</t>
  </si>
  <si>
    <t>uneven IR</t>
  </si>
  <si>
    <t>biweekly</t>
  </si>
  <si>
    <t>combination</t>
  </si>
  <si>
    <t>Field</t>
  </si>
  <si>
    <t>Shallow hardpan layer: the available root zone is less than the planted crop needs for healthy growth. Recommendations: 1. plant a hardy shallow rooting crop like grass hay; 2 minimize trash removal to build organic matter; 3 avoid deep rooting crops like alfalfa.</t>
  </si>
  <si>
    <t>Best Avg IR (Perc)</t>
  </si>
  <si>
    <t>highly vairable slope</t>
  </si>
  <si>
    <t>&gt;bi weekly</t>
  </si>
  <si>
    <t>no obvious problems</t>
  </si>
  <si>
    <t>No Hardpan or deep hardpan layer: the available root zone is sufficient to support your planted crop.</t>
  </si>
  <si>
    <t>variable</t>
  </si>
  <si>
    <t>blocked</t>
  </si>
  <si>
    <t>Uneven fields: uneven fields can be problmeatc for sprinkler irrigation. Recommendations: contact NRCS for help levelling your field.</t>
  </si>
  <si>
    <t>corroded</t>
  </si>
  <si>
    <t>Even grade field: is a good foundation for effective irrigation. It's important that topography is accounted for with sufficient line pressure.</t>
  </si>
  <si>
    <t>&gt;4</t>
  </si>
  <si>
    <t>this year</t>
  </si>
  <si>
    <t>A hardpan layer is a layer of impermeable bedrock or clay that prevents irrigation percolating deeper. A hardpan layer can limit the rooting depth of certain crops such as alfalfa. It also limits the water storage capacity of soils and can influence groundwater flows into neighboring fields.</t>
  </si>
  <si>
    <t>.</t>
  </si>
  <si>
    <t>last year</t>
  </si>
  <si>
    <t>Depth of hardpan?</t>
  </si>
  <si>
    <t>before last year</t>
  </si>
  <si>
    <t>Optimal mature root depth</t>
  </si>
  <si>
    <t>ref: USDA</t>
  </si>
  <si>
    <t>Poor DU (&lt;50%) Likely a result of head type or maintenance. Recommendation: overhaul heads</t>
  </si>
  <si>
    <t>yes</t>
  </si>
  <si>
    <t>grain</t>
  </si>
  <si>
    <t>Poor DU (&lt;50%) Application Rate at end heads is lower than middle. Recommend: address supply problem - line/nozzle size or (pump) pressure</t>
  </si>
  <si>
    <t>Field grade</t>
  </si>
  <si>
    <t>Field topography influences sprinkler irrigation uniformity and efficiency. Consistent grades eliminate pressure distribution problems</t>
  </si>
  <si>
    <t>spring</t>
  </si>
  <si>
    <t>Seasonal Irrigation Efficiency is sub-optimum. More than 75% of the water applied to the field is not being absorbed by the crop.</t>
  </si>
  <si>
    <t>Water</t>
  </si>
  <si>
    <t>DU = Distribution Uniformity and is a measure of how consistent irrigation is across the irrigation zone (derived from catch-can tests). Typically below 50% is seen as problematic, 50-60% is fair, and above 60% is good. Sprinkler and nozzle maintenance will have the biggest effect on catch-can test DU. For field distribution the correct move distance is critical (see Field Info - EIW).</t>
  </si>
  <si>
    <t>cover</t>
  </si>
  <si>
    <t>Seasonal Irrigation Efficiency could be improved. More than 65% of the water applied to the field is not being absorbed by the crop.</t>
  </si>
  <si>
    <t>Sprinkler Maintenace</t>
  </si>
  <si>
    <t>Nozzle Maintenance</t>
  </si>
  <si>
    <t>Set time</t>
  </si>
  <si>
    <t>CIG Fruita</t>
  </si>
  <si>
    <t>Days</t>
  </si>
  <si>
    <t>Weeks</t>
  </si>
  <si>
    <t>Precip Eff</t>
  </si>
  <si>
    <t>CU</t>
  </si>
  <si>
    <t>Irrig</t>
  </si>
  <si>
    <t>no cover</t>
  </si>
  <si>
    <t>Seasonal Irrigation Efficiency is good. Continue to monitor soil moisture and local ET values to enhance your irrigation management.</t>
  </si>
  <si>
    <r>
      <t xml:space="preserve">Move Dist. (x ft of </t>
    </r>
    <r>
      <rPr>
        <b/>
        <sz val="9"/>
        <rFont val="Arial"/>
        <family val="2"/>
      </rPr>
      <t>eff width</t>
    </r>
    <r>
      <rPr>
        <sz val="9"/>
        <rFont val="Arial"/>
        <family val="2"/>
      </rPr>
      <t>)</t>
    </r>
  </si>
  <si>
    <t>grass</t>
  </si>
  <si>
    <t>Irrigation water applied is not even matching crop demand!</t>
  </si>
  <si>
    <t>Technique</t>
  </si>
  <si>
    <t>alfalfa</t>
  </si>
  <si>
    <t>Crop is also showing signs of stress</t>
  </si>
  <si>
    <t>which might be due to lack of or surplus water to the crop, or salinity issues</t>
  </si>
  <si>
    <t>Irrigate every move across field and then move entire sprinkler back to start position</t>
  </si>
  <si>
    <t>corn (grain)</t>
  </si>
  <si>
    <t>Corn?</t>
  </si>
  <si>
    <t>which are probably due to over-irrigation which can lead to drowning the crop.</t>
  </si>
  <si>
    <t>corn (silage)</t>
  </si>
  <si>
    <t>Recommendation: Efficiency is function of many variables. Discuss irrigation scheduling and set programming with auditor.</t>
  </si>
  <si>
    <t>winter grain</t>
  </si>
  <si>
    <t>Small Grains?</t>
  </si>
  <si>
    <t>winter</t>
  </si>
  <si>
    <r>
      <t>Eff</t>
    </r>
    <r>
      <rPr>
        <b/>
        <i/>
        <vertAlign val="subscript"/>
        <sz val="9"/>
        <rFont val="Arial"/>
        <family val="2"/>
      </rPr>
      <t>seas</t>
    </r>
  </si>
  <si>
    <t>Irrigation frequency?</t>
  </si>
  <si>
    <r>
      <t xml:space="preserve">Even with optimum field conditions, astute irrigation scheduling is paramount to maximizing returns on your investment. Scheduling should be based on what moisture the root zone soil can hold and how rapidly it is being depleted by crop consumption, evaporation and percolation. Monitoring soil moisture is key to maximizing water use by the crop - known as  EvapoTranspiration (ET) or Consumptive UIse (CU) - and optimizing yield. Crop water use information is available online at  </t>
    </r>
    <r>
      <rPr>
        <u/>
        <sz val="8"/>
        <color indexed="48"/>
        <rFont val="Arial"/>
        <family val="2"/>
      </rPr>
      <t>www.coagmet.com</t>
    </r>
    <r>
      <rPr>
        <sz val="8"/>
        <color indexed="23"/>
        <rFont val="Arial"/>
      </rPr>
      <t xml:space="preserve">   (daily) and from the Colorado Irrigation Guide, 1988 (seasonal averages).</t>
    </r>
  </si>
  <si>
    <t>spring grain</t>
  </si>
  <si>
    <t>Season Length?</t>
  </si>
  <si>
    <t>days</t>
  </si>
  <si>
    <t>dry beans</t>
  </si>
  <si>
    <t>Evidence of crop stress?</t>
  </si>
  <si>
    <t>explore cutting back on irrigation flows before/after water advances - one or both may be too high.</t>
  </si>
  <si>
    <t>Number of irrigations</t>
  </si>
  <si>
    <t>/seas</t>
  </si>
  <si>
    <t>orchard (cover)</t>
  </si>
  <si>
    <t>Orchard?</t>
  </si>
  <si>
    <t>explore irrigating wheel rows with a separate regime to non-wheel rows</t>
  </si>
  <si>
    <t>Approx Water Applied</t>
  </si>
  <si>
    <t>in.</t>
  </si>
  <si>
    <t>orchard (no cover)</t>
  </si>
  <si>
    <t>Healthy ET</t>
  </si>
  <si>
    <t>vegetables</t>
  </si>
  <si>
    <t>Seasonal Efficiency</t>
  </si>
  <si>
    <t>Irrigate every alternate move across field and then irrigate alternate moves on way back</t>
  </si>
  <si>
    <t>no</t>
  </si>
  <si>
    <t>Irrigate every move across and back</t>
  </si>
  <si>
    <t>Irrigate every move from about half way across and then every move from halfway back.</t>
  </si>
  <si>
    <t>Without well maintained sprinklers then the uniformity of irrigations will be affected leading to sub-optimum irrigation to significant portions of the field.</t>
  </si>
  <si>
    <t>Without cleanly operating nozzles then the uniformity of irrigations will be affected leading to sub-optimum irrigation to significant portions of the field.</t>
  </si>
  <si>
    <t>Without well maintained sprinklers and nozzles then the uniformity of irrigations will be affected leading to sub-optimum irrigation to significant portions of the field.</t>
  </si>
  <si>
    <t>continue to maintain sprinklers and nozzles as they contribute significantly to irrigation uniformity.</t>
  </si>
  <si>
    <t>SMALL ACREAGE AUDIT REPORT - SIDE ROLL</t>
  </si>
  <si>
    <t>RESULTS</t>
  </si>
  <si>
    <t>ANALYSIS</t>
  </si>
  <si>
    <t>General</t>
  </si>
  <si>
    <t>Date:</t>
  </si>
  <si>
    <t>General Comments</t>
  </si>
  <si>
    <t>Location:</t>
  </si>
  <si>
    <t>Auditor:</t>
  </si>
  <si>
    <t>Acres:</t>
  </si>
  <si>
    <t>Specific Comments</t>
  </si>
  <si>
    <t>Soil Type:</t>
  </si>
  <si>
    <t>Soil IR:</t>
  </si>
  <si>
    <t>Crop:</t>
  </si>
  <si>
    <t>Audit</t>
  </si>
  <si>
    <t>EIW:</t>
  </si>
  <si>
    <t>DU:</t>
  </si>
  <si>
    <t>Snap Eff:</t>
  </si>
  <si>
    <t>Seas Eff:</t>
  </si>
  <si>
    <t>Irrigation</t>
  </si>
  <si>
    <t>PR:</t>
  </si>
  <si>
    <t>Set length</t>
  </si>
  <si>
    <t>hours</t>
  </si>
  <si>
    <t>PR per set</t>
  </si>
  <si>
    <t>inches</t>
  </si>
  <si>
    <t>Un-needed:</t>
  </si>
  <si>
    <t>CSU Extension Water Resources: Western Region: 970-242-8683.</t>
  </si>
  <si>
    <t>Colorado State University, U.S. Department of Agriculture and Colorado counties cooperating.</t>
  </si>
  <si>
    <t xml:space="preserve"> Extension programs are available to all without discrimination.</t>
  </si>
  <si>
    <t>sq-ft per acre</t>
  </si>
  <si>
    <t>gal per cu-ft</t>
  </si>
  <si>
    <t>gal per ac-ft</t>
  </si>
  <si>
    <t>gpm per cfs</t>
  </si>
  <si>
    <t>gal per ac-in</t>
  </si>
  <si>
    <t>mm per inch</t>
  </si>
  <si>
    <t>mL per cub-inch</t>
  </si>
  <si>
    <t>WHC (in/ft)</t>
  </si>
  <si>
    <t>v1.4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</si>
</sst>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0.0"/>
    <numFmt numFmtId="165" formatCode="0.0%"/>
  </numFmts>
  <fonts count="41" x14ac:knownFonts="1">
    <font>
      <sz val="11"/>
      <color theme="1"/>
      <name val="Calibri"/>
      <family val="2"/>
      <scheme val="minor"/>
    </font>
    <font>
      <b/>
      <sz val="12"/>
      <name val="Arial"/>
      <family val="2"/>
    </font>
    <font>
      <sz val="12"/>
      <name val="Arial"/>
      <family val="2"/>
    </font>
    <font>
      <b/>
      <sz val="10"/>
      <name val="Arial"/>
      <family val="2"/>
    </font>
    <font>
      <i/>
      <sz val="9"/>
      <name val="Arial"/>
      <family val="2"/>
    </font>
    <font>
      <b/>
      <i/>
      <sz val="10"/>
      <name val="Arial"/>
      <family val="2"/>
    </font>
    <font>
      <i/>
      <sz val="10"/>
      <color indexed="9"/>
      <name val="Arial"/>
      <family val="2"/>
    </font>
    <font>
      <sz val="10"/>
      <name val="Arial"/>
    </font>
    <font>
      <sz val="10"/>
      <color indexed="12"/>
      <name val="Arial"/>
    </font>
    <font>
      <sz val="8"/>
      <name val="Arial"/>
    </font>
    <font>
      <b/>
      <sz val="10"/>
      <color indexed="52"/>
      <name val="Arial"/>
      <family val="2"/>
    </font>
    <font>
      <u/>
      <sz val="10"/>
      <color indexed="12"/>
      <name val="Arial"/>
    </font>
    <font>
      <sz val="8"/>
      <color indexed="12"/>
      <name val="Arial"/>
    </font>
    <font>
      <b/>
      <sz val="10"/>
      <color indexed="53"/>
      <name val="Arial"/>
      <family val="2"/>
    </font>
    <font>
      <sz val="10"/>
      <color indexed="8"/>
      <name val="Arial"/>
      <family val="2"/>
    </font>
    <font>
      <b/>
      <sz val="10"/>
      <color indexed="9"/>
      <name val="Arial"/>
      <family val="2"/>
    </font>
    <font>
      <sz val="10"/>
      <color indexed="9"/>
      <name val="Arial"/>
    </font>
    <font>
      <b/>
      <sz val="10"/>
      <color indexed="8"/>
      <name val="Arial"/>
      <family val="2"/>
    </font>
    <font>
      <i/>
      <sz val="10"/>
      <color indexed="8"/>
      <name val="Arial"/>
      <family val="2"/>
    </font>
    <font>
      <sz val="10"/>
      <name val="Arial"/>
      <family val="2"/>
    </font>
    <font>
      <sz val="9"/>
      <color indexed="8"/>
      <name val="Arial"/>
      <family val="2"/>
    </font>
    <font>
      <sz val="10"/>
      <color indexed="17"/>
      <name val="Arial"/>
    </font>
    <font>
      <b/>
      <sz val="10"/>
      <color indexed="10"/>
      <name val="Arial"/>
      <family val="2"/>
    </font>
    <font>
      <b/>
      <i/>
      <sz val="9"/>
      <name val="Arial"/>
      <family val="2"/>
    </font>
    <font>
      <u/>
      <sz val="9"/>
      <color indexed="12"/>
      <name val="Arial"/>
      <family val="2"/>
    </font>
    <font>
      <sz val="9"/>
      <name val="Arial"/>
      <family val="2"/>
    </font>
    <font>
      <sz val="8"/>
      <color indexed="23"/>
      <name val="Arial"/>
      <family val="2"/>
    </font>
    <font>
      <sz val="9"/>
      <color indexed="12"/>
      <name val="Arial"/>
      <family val="2"/>
    </font>
    <font>
      <sz val="10"/>
      <color indexed="53"/>
      <name val="Arial"/>
      <family val="2"/>
    </font>
    <font>
      <sz val="10"/>
      <color indexed="23"/>
      <name val="Arial"/>
      <family val="2"/>
    </font>
    <font>
      <sz val="8"/>
      <name val="Arial"/>
      <family val="2"/>
    </font>
    <font>
      <b/>
      <sz val="9"/>
      <name val="Arial"/>
      <family val="2"/>
    </font>
    <font>
      <b/>
      <i/>
      <vertAlign val="subscript"/>
      <sz val="9"/>
      <name val="Arial"/>
      <family val="2"/>
    </font>
    <font>
      <sz val="8"/>
      <color indexed="23"/>
      <name val="Arial"/>
    </font>
    <font>
      <u/>
      <sz val="8"/>
      <color indexed="48"/>
      <name val="Arial"/>
      <family val="2"/>
    </font>
    <font>
      <sz val="10"/>
      <color indexed="23"/>
      <name val="Arial"/>
    </font>
    <font>
      <b/>
      <sz val="20"/>
      <name val="Kartika"/>
      <family val="1"/>
    </font>
    <font>
      <i/>
      <sz val="10"/>
      <name val="Arial"/>
      <family val="2"/>
    </font>
    <font>
      <sz val="10"/>
      <color indexed="12"/>
      <name val="Goudy Old Style"/>
      <family val="1"/>
    </font>
    <font>
      <sz val="10"/>
      <name val="Goudy Old Style"/>
      <family val="1"/>
    </font>
    <font>
      <sz val="9"/>
      <name val="Goudy Old Style"/>
      <family val="1"/>
    </font>
  </fonts>
  <fills count="13">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indexed="21"/>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s>
  <borders count="6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73">
    <xf numFmtId="0" fontId="0" fillId="0" borderId="0" xfId="0"/>
    <xf numFmtId="0" fontId="1" fillId="0" borderId="1" xfId="0" applyFont="1" applyBorder="1"/>
    <xf numFmtId="0" fontId="2" fillId="0" borderId="2" xfId="0" applyFont="1" applyBorder="1"/>
    <xf numFmtId="0" fontId="0" fillId="0" borderId="3" xfId="0" applyBorder="1"/>
    <xf numFmtId="0" fontId="0" fillId="0" borderId="4" xfId="0" applyBorder="1"/>
    <xf numFmtId="0" fontId="3" fillId="0" borderId="0" xfId="0" applyFont="1" applyFill="1" applyBorder="1" applyAlignment="1">
      <alignment horizontal="right"/>
    </xf>
    <xf numFmtId="0" fontId="4" fillId="0" borderId="0" xfId="0" applyFont="1" applyFill="1" applyBorder="1"/>
    <xf numFmtId="0" fontId="5" fillId="0" borderId="0" xfId="0" applyFont="1"/>
    <xf numFmtId="0" fontId="1" fillId="0" borderId="5" xfId="0" applyFont="1" applyBorder="1"/>
    <xf numFmtId="0" fontId="2" fillId="0" borderId="6" xfId="0" applyFont="1" applyBorder="1"/>
    <xf numFmtId="0" fontId="0" fillId="0" borderId="7" xfId="0" applyBorder="1"/>
    <xf numFmtId="0" fontId="1" fillId="0" borderId="0" xfId="0" applyFont="1" applyBorder="1"/>
    <xf numFmtId="0" fontId="2" fillId="0" borderId="0" xfId="0" applyFont="1" applyBorder="1"/>
    <xf numFmtId="0" fontId="0" fillId="0" borderId="0" xfId="0" applyBorder="1"/>
    <xf numFmtId="0" fontId="6" fillId="2" borderId="0" xfId="0" applyFont="1" applyFill="1"/>
    <xf numFmtId="0" fontId="0" fillId="2" borderId="0" xfId="0" applyFill="1"/>
    <xf numFmtId="0" fontId="6" fillId="3" borderId="0" xfId="0" applyFont="1" applyFill="1"/>
    <xf numFmtId="0" fontId="0" fillId="3" borderId="0" xfId="0" applyFill="1"/>
    <xf numFmtId="0" fontId="6" fillId="4" borderId="0" xfId="0" applyFont="1" applyFill="1"/>
    <xf numFmtId="8" fontId="0" fillId="0" borderId="0" xfId="0" applyNumberFormat="1"/>
    <xf numFmtId="2" fontId="7" fillId="5" borderId="8" xfId="0" applyNumberFormat="1" applyFont="1" applyFill="1" applyBorder="1" applyProtection="1">
      <protection locked="0"/>
    </xf>
    <xf numFmtId="0" fontId="0" fillId="0" borderId="9" xfId="0" applyBorder="1"/>
    <xf numFmtId="0" fontId="8" fillId="6" borderId="8" xfId="0" applyFont="1" applyFill="1" applyBorder="1" applyProtection="1">
      <protection locked="0"/>
    </xf>
    <xf numFmtId="0" fontId="0" fillId="0" borderId="0" xfId="0" applyAlignment="1">
      <alignment horizontal="right"/>
    </xf>
    <xf numFmtId="0" fontId="8" fillId="7" borderId="0" xfId="0" applyFont="1" applyFill="1" applyProtection="1">
      <protection locked="0"/>
    </xf>
    <xf numFmtId="164" fontId="0" fillId="8" borderId="0" xfId="0" applyNumberFormat="1" applyFill="1"/>
    <xf numFmtId="0" fontId="0" fillId="8" borderId="0" xfId="0" applyFill="1"/>
    <xf numFmtId="0" fontId="8" fillId="5" borderId="10" xfId="0" applyFont="1" applyFill="1" applyBorder="1" applyAlignment="1" applyProtection="1">
      <alignment horizontal="right"/>
      <protection locked="0"/>
    </xf>
    <xf numFmtId="0" fontId="0" fillId="5" borderId="11" xfId="0" applyFill="1" applyBorder="1"/>
    <xf numFmtId="0" fontId="9" fillId="0" borderId="12" xfId="0" applyFont="1" applyFill="1" applyBorder="1"/>
    <xf numFmtId="0" fontId="0" fillId="0" borderId="0" xfId="0" quotePrefix="1" applyAlignment="1">
      <alignment horizontal="center"/>
    </xf>
    <xf numFmtId="0" fontId="8" fillId="6" borderId="10" xfId="0" applyFont="1" applyFill="1" applyBorder="1" applyProtection="1">
      <protection locked="0"/>
    </xf>
    <xf numFmtId="0" fontId="8" fillId="5" borderId="13" xfId="0" applyFont="1" applyFill="1" applyBorder="1" applyAlignment="1" applyProtection="1">
      <alignment horizontal="right"/>
      <protection locked="0"/>
    </xf>
    <xf numFmtId="0" fontId="0" fillId="5" borderId="0" xfId="0" applyFill="1" applyBorder="1"/>
    <xf numFmtId="0" fontId="0" fillId="0" borderId="14" xfId="0" applyFill="1" applyBorder="1"/>
    <xf numFmtId="0" fontId="8" fillId="6" borderId="13" xfId="0" applyFont="1" applyFill="1" applyBorder="1" applyProtection="1">
      <protection locked="0"/>
    </xf>
    <xf numFmtId="0" fontId="7" fillId="5" borderId="13" xfId="0" applyFont="1" applyFill="1" applyBorder="1" applyAlignment="1" applyProtection="1">
      <alignment horizontal="right"/>
      <protection locked="0"/>
    </xf>
    <xf numFmtId="0" fontId="0" fillId="0" borderId="0" xfId="0" applyFill="1" applyBorder="1"/>
    <xf numFmtId="0" fontId="8" fillId="0" borderId="0" xfId="0" applyFont="1"/>
    <xf numFmtId="0" fontId="8" fillId="5" borderId="13" xfId="0" applyFont="1" applyFill="1" applyBorder="1" applyProtection="1">
      <protection locked="0"/>
    </xf>
    <xf numFmtId="0" fontId="8" fillId="6" borderId="15" xfId="0" applyFont="1" applyFill="1" applyBorder="1" applyProtection="1">
      <protection locked="0"/>
    </xf>
    <xf numFmtId="0" fontId="0" fillId="0" borderId="16" xfId="0" applyFill="1" applyBorder="1"/>
    <xf numFmtId="0" fontId="10" fillId="0" borderId="0" xfId="0" applyFont="1"/>
    <xf numFmtId="0" fontId="3" fillId="0" borderId="15" xfId="0" applyFont="1" applyBorder="1" applyProtection="1">
      <protection locked="0"/>
    </xf>
    <xf numFmtId="0" fontId="0" fillId="0" borderId="17" xfId="0" applyBorder="1"/>
    <xf numFmtId="0" fontId="0" fillId="0" borderId="16" xfId="0" applyBorder="1"/>
    <xf numFmtId="0" fontId="3" fillId="9" borderId="0" xfId="0" applyFont="1" applyFill="1" applyAlignment="1">
      <alignment horizontal="right"/>
    </xf>
    <xf numFmtId="0" fontId="3" fillId="9" borderId="0" xfId="0" applyFont="1" applyFill="1" applyAlignment="1">
      <alignment horizontal="center"/>
    </xf>
    <xf numFmtId="0" fontId="3" fillId="0" borderId="0" xfId="0" quotePrefix="1" applyNumberFormat="1" applyFon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Border="1" applyAlignment="1">
      <alignment horizontal="center"/>
    </xf>
    <xf numFmtId="0" fontId="5" fillId="0" borderId="1" xfId="0" applyFont="1" applyBorder="1"/>
    <xf numFmtId="0" fontId="0" fillId="0" borderId="2" xfId="0" applyBorder="1"/>
    <xf numFmtId="0" fontId="3" fillId="0" borderId="0" xfId="0" applyNumberFormat="1" applyFont="1"/>
    <xf numFmtId="0" fontId="0" fillId="0" borderId="13" xfId="0" applyNumberFormat="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0" fontId="0" fillId="0" borderId="14" xfId="0" applyBorder="1" applyAlignment="1">
      <alignment horizontal="center"/>
    </xf>
    <xf numFmtId="0" fontId="0" fillId="0" borderId="18" xfId="0" applyBorder="1"/>
    <xf numFmtId="0" fontId="0" fillId="0" borderId="0" xfId="0" quotePrefix="1" applyBorder="1" applyAlignment="1">
      <alignment horizontal="center"/>
    </xf>
    <xf numFmtId="0" fontId="0" fillId="0" borderId="0" xfId="0" applyFill="1" applyBorder="1" applyAlignment="1">
      <alignment horizontal="right"/>
    </xf>
    <xf numFmtId="0" fontId="8" fillId="0" borderId="0" xfId="0" applyFont="1" applyFill="1" applyBorder="1"/>
    <xf numFmtId="0" fontId="0" fillId="0" borderId="5" xfId="0" applyBorder="1"/>
    <xf numFmtId="0" fontId="11" fillId="0" borderId="6" xfId="1" applyBorder="1" applyAlignment="1" applyProtection="1"/>
    <xf numFmtId="0" fontId="0" fillId="0" borderId="6" xfId="0" applyBorder="1"/>
    <xf numFmtId="0" fontId="0" fillId="0" borderId="15" xfId="0" applyNumberFormat="1" applyBorder="1" applyAlignment="1">
      <alignment horizontal="center"/>
    </xf>
    <xf numFmtId="0" fontId="0" fillId="0" borderId="17" xfId="0" applyNumberFormat="1" applyBorder="1" applyAlignment="1">
      <alignment horizontal="center"/>
    </xf>
    <xf numFmtId="0" fontId="0" fillId="0" borderId="16" xfId="0" applyBorder="1" applyAlignment="1">
      <alignment horizontal="center"/>
    </xf>
    <xf numFmtId="0" fontId="0" fillId="0" borderId="0" xfId="0" applyFill="1"/>
    <xf numFmtId="0" fontId="0" fillId="0" borderId="0" xfId="0" applyNumberFormat="1"/>
    <xf numFmtId="0" fontId="8" fillId="5" borderId="10" xfId="0" applyFont="1" applyFill="1" applyBorder="1" applyProtection="1">
      <protection locked="0"/>
    </xf>
    <xf numFmtId="0" fontId="8" fillId="5" borderId="11" xfId="0" applyFont="1" applyFill="1" applyBorder="1" applyProtection="1">
      <protection locked="0"/>
    </xf>
    <xf numFmtId="0" fontId="0" fillId="0" borderId="11" xfId="0" applyBorder="1"/>
    <xf numFmtId="0" fontId="0" fillId="0" borderId="12" xfId="0" applyFill="1" applyBorder="1" applyAlignment="1">
      <alignment horizontal="right"/>
    </xf>
    <xf numFmtId="9" fontId="12" fillId="0" borderId="0" xfId="0" applyNumberFormat="1" applyFont="1" applyFill="1" applyBorder="1"/>
    <xf numFmtId="0" fontId="0" fillId="0" borderId="14" xfId="0" applyBorder="1"/>
    <xf numFmtId="164" fontId="3" fillId="0" borderId="13" xfId="0" applyNumberFormat="1" applyFont="1" applyFill="1" applyBorder="1" applyProtection="1">
      <protection locked="0"/>
    </xf>
    <xf numFmtId="0" fontId="0" fillId="0" borderId="14" xfId="0" applyBorder="1" applyAlignment="1">
      <alignment horizontal="right"/>
    </xf>
    <xf numFmtId="0" fontId="8" fillId="5" borderId="0" xfId="0" applyFont="1" applyFill="1" applyBorder="1"/>
    <xf numFmtId="0" fontId="13" fillId="0" borderId="0" xfId="0" applyFont="1"/>
    <xf numFmtId="0" fontId="7" fillId="0" borderId="15" xfId="0" applyFont="1" applyFill="1" applyBorder="1" applyProtection="1">
      <protection locked="0"/>
    </xf>
    <xf numFmtId="0" fontId="0" fillId="0" borderId="16" xfId="0" applyBorder="1" applyAlignment="1">
      <alignment horizontal="right"/>
    </xf>
    <xf numFmtId="0" fontId="0" fillId="10" borderId="0" xfId="0" applyFill="1"/>
    <xf numFmtId="0" fontId="14" fillId="10" borderId="0" xfId="0" applyFont="1" applyFill="1"/>
    <xf numFmtId="0" fontId="3" fillId="0" borderId="1" xfId="0" applyFont="1" applyBorder="1"/>
    <xf numFmtId="165" fontId="15" fillId="2" borderId="2" xfId="0" applyNumberFormat="1" applyFont="1" applyFill="1" applyBorder="1"/>
    <xf numFmtId="0" fontId="0" fillId="0" borderId="2" xfId="0" applyFill="1" applyBorder="1"/>
    <xf numFmtId="2" fontId="16" fillId="0" borderId="3" xfId="0" applyNumberFormat="1" applyFont="1" applyBorder="1"/>
    <xf numFmtId="0" fontId="9" fillId="0" borderId="19" xfId="0" applyFont="1" applyBorder="1" applyAlignment="1">
      <alignment horizontal="right"/>
    </xf>
    <xf numFmtId="0" fontId="12" fillId="7" borderId="20" xfId="0" applyFont="1" applyFill="1" applyBorder="1"/>
    <xf numFmtId="0" fontId="3" fillId="0" borderId="4" xfId="0" applyFont="1" applyFill="1" applyBorder="1" applyAlignment="1">
      <alignment horizontal="left"/>
    </xf>
    <xf numFmtId="10" fontId="15" fillId="2" borderId="0" xfId="0" applyNumberFormat="1" applyFont="1" applyFill="1" applyBorder="1" applyAlignment="1">
      <alignment horizontal="right"/>
    </xf>
    <xf numFmtId="1" fontId="8" fillId="6" borderId="13" xfId="0" applyNumberFormat="1" applyFont="1" applyFill="1" applyBorder="1" applyProtection="1">
      <protection locked="0"/>
    </xf>
    <xf numFmtId="0" fontId="9" fillId="0" borderId="14" xfId="0" applyFont="1" applyBorder="1"/>
    <xf numFmtId="0" fontId="3" fillId="0" borderId="0" xfId="0" applyFont="1" applyAlignment="1">
      <alignment horizontal="right"/>
    </xf>
    <xf numFmtId="2" fontId="3" fillId="8" borderId="0" xfId="0" applyNumberFormat="1" applyFont="1" applyFill="1"/>
    <xf numFmtId="0" fontId="17" fillId="9" borderId="22" xfId="0" applyFont="1" applyFill="1" applyBorder="1" applyAlignment="1">
      <alignment horizontal="center" wrapText="1"/>
    </xf>
    <xf numFmtId="0" fontId="17" fillId="9" borderId="23" xfId="0" applyFont="1" applyFill="1" applyBorder="1" applyAlignment="1">
      <alignment horizontal="center" wrapText="1"/>
    </xf>
    <xf numFmtId="0" fontId="18" fillId="0" borderId="0" xfId="0" applyFont="1" applyFill="1" applyBorder="1" applyAlignment="1">
      <alignment horizontal="left" wrapText="1"/>
    </xf>
    <xf numFmtId="0" fontId="19" fillId="0" borderId="0" xfId="0" applyFont="1"/>
    <xf numFmtId="0" fontId="0" fillId="0" borderId="13" xfId="0" applyBorder="1" applyAlignment="1">
      <alignment horizontal="center"/>
    </xf>
    <xf numFmtId="2" fontId="0" fillId="8" borderId="0" xfId="0" applyNumberFormat="1" applyFill="1"/>
    <xf numFmtId="0" fontId="17" fillId="9" borderId="25" xfId="0" applyFont="1" applyFill="1" applyBorder="1" applyAlignment="1">
      <alignment horizontal="center" wrapText="1"/>
    </xf>
    <xf numFmtId="0" fontId="17" fillId="9" borderId="26" xfId="0" applyFont="1" applyFill="1" applyBorder="1" applyAlignment="1">
      <alignment horizontal="center" wrapText="1"/>
    </xf>
    <xf numFmtId="0" fontId="0" fillId="0" borderId="15" xfId="0" applyFill="1" applyBorder="1" applyAlignment="1">
      <alignment horizontal="center"/>
    </xf>
    <xf numFmtId="0" fontId="0" fillId="0" borderId="16" xfId="0" applyFill="1" applyBorder="1" applyAlignment="1">
      <alignment horizontal="center"/>
    </xf>
    <xf numFmtId="0" fontId="17" fillId="0" borderId="27" xfId="0" applyFont="1" applyBorder="1" applyAlignment="1">
      <alignment wrapText="1"/>
    </xf>
    <xf numFmtId="0" fontId="14" fillId="0" borderId="28" xfId="0" applyFont="1" applyBorder="1" applyAlignment="1">
      <alignment horizontal="center" wrapText="1"/>
    </xf>
    <xf numFmtId="0" fontId="14" fillId="0" borderId="29" xfId="0" applyFont="1" applyBorder="1" applyAlignment="1">
      <alignment horizontal="center" wrapText="1"/>
    </xf>
    <xf numFmtId="0" fontId="17" fillId="0" borderId="30" xfId="0" applyFont="1" applyBorder="1" applyAlignment="1">
      <alignment wrapText="1"/>
    </xf>
    <xf numFmtId="0" fontId="14" fillId="0" borderId="31" xfId="0" applyFont="1" applyBorder="1" applyAlignment="1">
      <alignment horizontal="center" wrapText="1"/>
    </xf>
    <xf numFmtId="0" fontId="14" fillId="0" borderId="32" xfId="0" applyFont="1" applyBorder="1" applyAlignment="1">
      <alignment horizontal="center" wrapText="1"/>
    </xf>
    <xf numFmtId="2" fontId="0" fillId="0" borderId="0" xfId="0" applyNumberFormat="1" applyBorder="1"/>
    <xf numFmtId="0" fontId="0" fillId="0" borderId="0" xfId="0" applyAlignment="1">
      <alignment horizontal="left"/>
    </xf>
    <xf numFmtId="0" fontId="3" fillId="0" borderId="5" xfId="0" applyFont="1" applyFill="1" applyBorder="1"/>
    <xf numFmtId="10" fontId="15" fillId="3" borderId="6" xfId="0" applyNumberFormat="1" applyFont="1" applyFill="1" applyBorder="1"/>
    <xf numFmtId="2" fontId="0" fillId="0" borderId="0" xfId="0" applyNumberFormat="1"/>
    <xf numFmtId="164" fontId="0" fillId="0" borderId="0" xfId="0" applyNumberFormat="1" applyFill="1"/>
    <xf numFmtId="0" fontId="0" fillId="10" borderId="13" xfId="0" applyFill="1" applyBorder="1"/>
    <xf numFmtId="9" fontId="0" fillId="0" borderId="0" xfId="0" applyNumberFormat="1"/>
    <xf numFmtId="0" fontId="0" fillId="0" borderId="13" xfId="0" applyBorder="1"/>
    <xf numFmtId="0" fontId="0" fillId="0" borderId="15" xfId="0" applyBorder="1"/>
    <xf numFmtId="0" fontId="14" fillId="0" borderId="0" xfId="0" applyFont="1"/>
    <xf numFmtId="0" fontId="20" fillId="10" borderId="0" xfId="0" applyFont="1" applyFill="1"/>
    <xf numFmtId="0" fontId="17" fillId="9" borderId="35" xfId="0" applyFont="1" applyFill="1" applyBorder="1" applyAlignment="1">
      <alignment horizontal="center" wrapText="1"/>
    </xf>
    <xf numFmtId="0" fontId="17" fillId="9" borderId="38" xfId="0" applyFont="1" applyFill="1" applyBorder="1" applyAlignment="1">
      <alignment horizontal="center" wrapText="1"/>
    </xf>
    <xf numFmtId="0" fontId="17" fillId="9" borderId="31" xfId="0" applyFont="1" applyFill="1" applyBorder="1" applyAlignment="1">
      <alignment horizontal="center" wrapText="1"/>
    </xf>
    <xf numFmtId="0" fontId="17" fillId="9" borderId="39" xfId="0" applyFont="1" applyFill="1" applyBorder="1" applyAlignment="1">
      <alignment horizontal="center" wrapText="1"/>
    </xf>
    <xf numFmtId="0" fontId="14" fillId="0" borderId="41" xfId="0" applyFont="1" applyBorder="1" applyAlignment="1">
      <alignment wrapText="1"/>
    </xf>
    <xf numFmtId="0" fontId="14" fillId="0" borderId="31" xfId="0" applyFont="1" applyBorder="1" applyAlignment="1">
      <alignment wrapText="1"/>
    </xf>
    <xf numFmtId="10" fontId="0" fillId="0" borderId="0" xfId="0" applyNumberFormat="1"/>
    <xf numFmtId="0" fontId="17" fillId="0" borderId="40" xfId="0" applyFont="1" applyBorder="1" applyAlignment="1">
      <alignment wrapText="1"/>
    </xf>
    <xf numFmtId="0" fontId="17" fillId="0" borderId="42" xfId="0" applyFont="1" applyBorder="1" applyAlignment="1"/>
    <xf numFmtId="0" fontId="17" fillId="0" borderId="42" xfId="0" applyFont="1" applyBorder="1" applyAlignment="1">
      <alignment wrapText="1"/>
    </xf>
    <xf numFmtId="0" fontId="0" fillId="0" borderId="43" xfId="0" applyBorder="1"/>
    <xf numFmtId="0" fontId="20" fillId="0" borderId="0" xfId="0" applyFont="1"/>
    <xf numFmtId="0" fontId="1" fillId="0" borderId="0" xfId="0" applyFont="1"/>
    <xf numFmtId="0" fontId="16" fillId="0" borderId="0" xfId="0" applyFont="1" applyFill="1" applyBorder="1"/>
    <xf numFmtId="0" fontId="0" fillId="0" borderId="42" xfId="0" applyFill="1" applyBorder="1"/>
    <xf numFmtId="0" fontId="1" fillId="0" borderId="0" xfId="0" applyFont="1" applyFill="1" applyBorder="1"/>
    <xf numFmtId="0" fontId="0" fillId="0" borderId="0" xfId="0" applyAlignment="1">
      <alignment horizontal="center"/>
    </xf>
    <xf numFmtId="0" fontId="8" fillId="11" borderId="44" xfId="0" applyFont="1" applyFill="1" applyBorder="1" applyAlignment="1" applyProtection="1">
      <alignment horizontal="center"/>
      <protection locked="0"/>
    </xf>
    <xf numFmtId="0" fontId="7" fillId="0" borderId="0" xfId="0" applyFont="1" applyFill="1" applyBorder="1" applyAlignment="1">
      <alignment horizontal="right"/>
    </xf>
    <xf numFmtId="0" fontId="8" fillId="11" borderId="44" xfId="0" applyFont="1" applyFill="1" applyBorder="1" applyAlignment="1">
      <alignment horizontal="center"/>
    </xf>
    <xf numFmtId="0" fontId="8" fillId="11" borderId="45" xfId="0" applyFont="1" applyFill="1" applyBorder="1" applyAlignment="1" applyProtection="1">
      <alignment horizontal="center"/>
      <protection locked="0"/>
    </xf>
    <xf numFmtId="0" fontId="8" fillId="11" borderId="45" xfId="0" applyFont="1" applyFill="1" applyBorder="1" applyAlignment="1">
      <alignment horizontal="center"/>
    </xf>
    <xf numFmtId="0" fontId="8" fillId="5" borderId="45" xfId="0" applyFont="1" applyFill="1" applyBorder="1" applyAlignment="1" applyProtection="1">
      <alignment horizontal="center"/>
      <protection locked="0"/>
    </xf>
    <xf numFmtId="0" fontId="0" fillId="0" borderId="0" xfId="0" applyAlignment="1" applyProtection="1">
      <alignment horizontal="center"/>
      <protection locked="0"/>
    </xf>
    <xf numFmtId="0" fontId="8" fillId="5" borderId="45" xfId="0" applyFont="1" applyFill="1" applyBorder="1" applyAlignment="1">
      <alignment horizontal="center"/>
    </xf>
    <xf numFmtId="0" fontId="8" fillId="5" borderId="46" xfId="0" applyFont="1" applyFill="1" applyBorder="1" applyAlignment="1" applyProtection="1">
      <alignment horizontal="center"/>
      <protection locked="0"/>
    </xf>
    <xf numFmtId="0" fontId="8" fillId="5" borderId="46" xfId="0" applyFont="1" applyFill="1" applyBorder="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right"/>
    </xf>
    <xf numFmtId="0" fontId="8" fillId="0" borderId="0" xfId="0" applyFont="1" applyFill="1" applyBorder="1" applyAlignment="1" applyProtection="1">
      <alignment horizontal="center"/>
      <protection locked="0"/>
    </xf>
    <xf numFmtId="0" fontId="7" fillId="0" borderId="0" xfId="0" applyFont="1" applyFill="1" applyBorder="1" applyAlignment="1">
      <alignment horizontal="left"/>
    </xf>
    <xf numFmtId="0" fontId="0" fillId="11" borderId="0" xfId="0" applyFill="1"/>
    <xf numFmtId="0" fontId="0" fillId="11" borderId="0" xfId="0" applyFill="1" applyBorder="1" applyAlignment="1">
      <alignment horizontal="right"/>
    </xf>
    <xf numFmtId="0" fontId="8" fillId="0" borderId="0" xfId="0" applyFont="1" applyFill="1" applyBorder="1" applyAlignment="1" applyProtection="1">
      <alignment horizontal="left"/>
      <protection locked="0"/>
    </xf>
    <xf numFmtId="164" fontId="7" fillId="0" borderId="0" xfId="0" applyNumberFormat="1" applyFont="1" applyFill="1" applyBorder="1" applyAlignment="1">
      <alignment horizontal="center"/>
    </xf>
    <xf numFmtId="0" fontId="0" fillId="11" borderId="0" xfId="0" applyFill="1" applyBorder="1"/>
    <xf numFmtId="0" fontId="8" fillId="0" borderId="0" xfId="0" applyFont="1" applyFill="1" applyBorder="1" applyAlignment="1">
      <alignment horizontal="left"/>
    </xf>
    <xf numFmtId="2" fontId="3" fillId="4" borderId="0" xfId="0" applyNumberFormat="1" applyFont="1" applyFill="1" applyAlignment="1">
      <alignment horizontal="center"/>
    </xf>
    <xf numFmtId="2" fontId="3" fillId="0" borderId="0" xfId="0" applyNumberFormat="1" applyFont="1" applyFill="1" applyAlignment="1">
      <alignment horizontal="center"/>
    </xf>
    <xf numFmtId="2" fontId="3" fillId="0" borderId="42" xfId="0" applyNumberFormat="1" applyFont="1" applyFill="1" applyBorder="1"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2" fontId="0" fillId="0" borderId="42" xfId="0" applyNumberFormat="1" applyFill="1" applyBorder="1" applyAlignment="1">
      <alignment horizontal="center"/>
    </xf>
    <xf numFmtId="2" fontId="0" fillId="4" borderId="0" xfId="0" applyNumberFormat="1" applyFill="1" applyAlignment="1">
      <alignment horizontal="center"/>
    </xf>
    <xf numFmtId="10" fontId="21" fillId="0" borderId="0" xfId="0" applyNumberFormat="1" applyFont="1" applyFill="1" applyBorder="1" applyAlignment="1">
      <alignment horizontal="center"/>
    </xf>
    <xf numFmtId="10" fontId="0" fillId="0" borderId="0" xfId="0" applyNumberFormat="1" applyFill="1" applyBorder="1" applyAlignment="1">
      <alignment horizontal="center"/>
    </xf>
    <xf numFmtId="165" fontId="0" fillId="4" borderId="0" xfId="0" applyNumberFormat="1" applyFill="1" applyAlignment="1">
      <alignment horizontal="center"/>
    </xf>
    <xf numFmtId="165" fontId="3" fillId="4" borderId="0" xfId="0" applyNumberFormat="1" applyFont="1" applyFill="1" applyAlignment="1">
      <alignment horizontal="center"/>
    </xf>
    <xf numFmtId="0" fontId="5" fillId="0" borderId="0" xfId="0" applyFont="1" applyAlignment="1">
      <alignment horizontal="right"/>
    </xf>
    <xf numFmtId="0" fontId="7" fillId="0" borderId="0" xfId="0" applyFont="1" applyFill="1" applyAlignment="1">
      <alignment horizontal="center"/>
    </xf>
    <xf numFmtId="0" fontId="0" fillId="0" borderId="0" xfId="0" applyFill="1" applyAlignment="1">
      <alignment horizontal="right"/>
    </xf>
    <xf numFmtId="2" fontId="7" fillId="4" borderId="0" xfId="0" applyNumberFormat="1" applyFont="1" applyFill="1" applyAlignment="1">
      <alignment horizontal="center"/>
    </xf>
    <xf numFmtId="10" fontId="0" fillId="0" borderId="0" xfId="0" applyNumberFormat="1" applyFill="1" applyBorder="1"/>
    <xf numFmtId="2" fontId="8" fillId="0" borderId="0" xfId="0" applyNumberFormat="1" applyFont="1" applyFill="1" applyBorder="1"/>
    <xf numFmtId="0" fontId="22" fillId="0" borderId="0" xfId="0" applyFont="1" applyFill="1" applyBorder="1"/>
    <xf numFmtId="0" fontId="3" fillId="0" borderId="0" xfId="0" applyFont="1" applyFill="1" applyAlignment="1">
      <alignment horizontal="center"/>
    </xf>
    <xf numFmtId="165" fontId="19" fillId="4" borderId="0" xfId="0" applyNumberFormat="1" applyFont="1" applyFill="1" applyAlignment="1">
      <alignment horizontal="center"/>
    </xf>
    <xf numFmtId="0" fontId="23" fillId="0" borderId="0" xfId="0" applyFont="1"/>
    <xf numFmtId="0" fontId="24" fillId="0" borderId="0" xfId="1" applyFont="1" applyAlignment="1" applyProtection="1">
      <protection locked="0"/>
    </xf>
    <xf numFmtId="0" fontId="25" fillId="0" borderId="0" xfId="0" applyFont="1"/>
    <xf numFmtId="0" fontId="25" fillId="0" borderId="10" xfId="0" applyFont="1" applyBorder="1"/>
    <xf numFmtId="0" fontId="25" fillId="5" borderId="11" xfId="0" applyFont="1" applyFill="1" applyBorder="1" applyAlignment="1">
      <alignment horizontal="right"/>
    </xf>
    <xf numFmtId="0" fontId="25" fillId="0" borderId="12" xfId="0" applyFont="1" applyBorder="1"/>
    <xf numFmtId="0" fontId="3" fillId="0" borderId="0" xfId="0" applyFont="1"/>
    <xf numFmtId="0" fontId="22" fillId="0" borderId="0" xfId="0" applyNumberFormat="1" applyFont="1"/>
    <xf numFmtId="0" fontId="25" fillId="0" borderId="13" xfId="0" applyFont="1" applyBorder="1"/>
    <xf numFmtId="0" fontId="27" fillId="5" borderId="0" xfId="0" applyFont="1" applyFill="1" applyBorder="1" applyAlignment="1" applyProtection="1">
      <alignment horizontal="right"/>
      <protection locked="0"/>
    </xf>
    <xf numFmtId="0" fontId="25" fillId="0" borderId="14" xfId="0" applyFont="1" applyBorder="1"/>
    <xf numFmtId="0" fontId="25" fillId="5" borderId="0" xfId="0" applyFont="1" applyFill="1" applyBorder="1" applyAlignment="1">
      <alignment horizontal="right"/>
    </xf>
    <xf numFmtId="0" fontId="14" fillId="0" borderId="52" xfId="0" applyFont="1" applyBorder="1" applyAlignment="1">
      <alignment wrapText="1"/>
    </xf>
    <xf numFmtId="0" fontId="0" fillId="0" borderId="52" xfId="0" applyBorder="1"/>
    <xf numFmtId="0" fontId="25" fillId="0" borderId="0" xfId="0" applyFont="1" applyFill="1" applyBorder="1" applyAlignment="1">
      <alignment horizontal="right"/>
    </xf>
    <xf numFmtId="2" fontId="25" fillId="5" borderId="0" xfId="0" applyNumberFormat="1" applyFont="1" applyFill="1" applyBorder="1" applyAlignment="1">
      <alignment horizontal="right"/>
    </xf>
    <xf numFmtId="0" fontId="25" fillId="0" borderId="0" xfId="0" applyFont="1" applyBorder="1"/>
    <xf numFmtId="0" fontId="0" fillId="12" borderId="52" xfId="0" applyFill="1" applyBorder="1"/>
    <xf numFmtId="0" fontId="25" fillId="0" borderId="15" xfId="0" applyFont="1" applyBorder="1"/>
    <xf numFmtId="0" fontId="25" fillId="0" borderId="17" xfId="0" applyFont="1" applyBorder="1" applyAlignment="1">
      <alignment horizontal="right"/>
    </xf>
    <xf numFmtId="0" fontId="25" fillId="0" borderId="16" xfId="0" applyFont="1" applyBorder="1"/>
    <xf numFmtId="0" fontId="25" fillId="0" borderId="0" xfId="0" applyFont="1" applyAlignment="1">
      <alignment horizontal="right"/>
    </xf>
    <xf numFmtId="0" fontId="14" fillId="0" borderId="42" xfId="0" applyFont="1" applyFill="1" applyBorder="1" applyAlignment="1">
      <alignment wrapText="1"/>
    </xf>
    <xf numFmtId="0" fontId="27" fillId="0" borderId="0" xfId="0" applyFont="1" applyFill="1" applyBorder="1" applyAlignment="1">
      <alignment horizontal="right"/>
    </xf>
    <xf numFmtId="165" fontId="25" fillId="5" borderId="11" xfId="0" applyNumberFormat="1" applyFont="1" applyFill="1" applyBorder="1" applyAlignment="1">
      <alignment horizontal="right"/>
    </xf>
    <xf numFmtId="0" fontId="25" fillId="0" borderId="14" xfId="0" applyFont="1" applyFill="1" applyBorder="1"/>
    <xf numFmtId="165" fontId="25" fillId="5" borderId="0" xfId="0" applyNumberFormat="1" applyFont="1" applyFill="1" applyBorder="1" applyAlignment="1">
      <alignment horizontal="right"/>
    </xf>
    <xf numFmtId="0" fontId="17" fillId="0" borderId="0" xfId="0" applyFont="1" applyFill="1" applyBorder="1" applyAlignment="1">
      <alignment wrapText="1"/>
    </xf>
    <xf numFmtId="0" fontId="27" fillId="5" borderId="0" xfId="0" applyFont="1" applyFill="1" applyBorder="1" applyAlignment="1">
      <alignment horizontal="right"/>
    </xf>
    <xf numFmtId="0" fontId="17" fillId="0" borderId="56" xfId="0" applyFont="1" applyBorder="1" applyAlignment="1">
      <alignment wrapText="1"/>
    </xf>
    <xf numFmtId="0" fontId="0" fillId="0" borderId="57" xfId="0" applyBorder="1"/>
    <xf numFmtId="164" fontId="0" fillId="0" borderId="57" xfId="0" applyNumberFormat="1" applyBorder="1"/>
    <xf numFmtId="0" fontId="0" fillId="0" borderId="58" xfId="0" applyBorder="1"/>
    <xf numFmtId="0" fontId="17" fillId="0" borderId="59" xfId="0" applyFont="1" applyBorder="1" applyAlignment="1">
      <alignment wrapText="1"/>
    </xf>
    <xf numFmtId="164" fontId="0" fillId="0" borderId="52" xfId="0" applyNumberFormat="1" applyBorder="1"/>
    <xf numFmtId="0" fontId="0" fillId="0" borderId="60" xfId="0" applyBorder="1"/>
    <xf numFmtId="0" fontId="0" fillId="0" borderId="52" xfId="0" applyFill="1" applyBorder="1"/>
    <xf numFmtId="0" fontId="17" fillId="0" borderId="59" xfId="0" applyFont="1" applyBorder="1" applyAlignment="1">
      <alignment horizontal="left" wrapText="1"/>
    </xf>
    <xf numFmtId="0" fontId="27" fillId="5" borderId="11" xfId="0" applyFont="1" applyFill="1" applyBorder="1" applyAlignment="1" applyProtection="1">
      <alignment horizontal="right"/>
      <protection locked="0"/>
    </xf>
    <xf numFmtId="0" fontId="25" fillId="5" borderId="0" xfId="0" applyFont="1" applyFill="1" applyBorder="1"/>
    <xf numFmtId="2" fontId="25" fillId="5" borderId="0" xfId="0" applyNumberFormat="1" applyFont="1" applyFill="1" applyBorder="1"/>
    <xf numFmtId="0" fontId="3" fillId="0" borderId="59" xfId="0" applyFont="1" applyBorder="1"/>
    <xf numFmtId="10" fontId="25" fillId="5" borderId="0" xfId="0" applyNumberFormat="1" applyFont="1" applyFill="1" applyBorder="1" applyAlignment="1">
      <alignment horizontal="right"/>
    </xf>
    <xf numFmtId="0" fontId="3" fillId="0" borderId="61" xfId="0" applyFont="1" applyBorder="1"/>
    <xf numFmtId="0" fontId="0" fillId="0" borderId="62" xfId="0" applyBorder="1"/>
    <xf numFmtId="164" fontId="0" fillId="0" borderId="62" xfId="0" applyNumberFormat="1" applyBorder="1"/>
    <xf numFmtId="0" fontId="0" fillId="0" borderId="63" xfId="0" applyBorder="1"/>
    <xf numFmtId="0" fontId="27" fillId="5" borderId="17" xfId="0" applyFont="1" applyFill="1" applyBorder="1" applyAlignment="1" applyProtection="1">
      <alignment horizontal="right"/>
      <protection locked="0"/>
    </xf>
    <xf numFmtId="0" fontId="36" fillId="0" borderId="0" xfId="0" applyFont="1"/>
    <xf numFmtId="0" fontId="37" fillId="0" borderId="0" xfId="0" applyFont="1"/>
    <xf numFmtId="0" fontId="0" fillId="0" borderId="10" xfId="0" applyBorder="1" applyAlignment="1">
      <alignment horizontal="right"/>
    </xf>
    <xf numFmtId="0" fontId="38" fillId="4" borderId="11" xfId="0" applyFont="1" applyFill="1" applyBorder="1" applyAlignment="1" applyProtection="1">
      <alignment horizontal="center"/>
      <protection locked="0"/>
    </xf>
    <xf numFmtId="0" fontId="8" fillId="0" borderId="12" xfId="0" applyFont="1" applyBorder="1"/>
    <xf numFmtId="0" fontId="5" fillId="0" borderId="10" xfId="0" applyFont="1" applyBorder="1"/>
    <xf numFmtId="0" fontId="0" fillId="0" borderId="12" xfId="0" applyBorder="1"/>
    <xf numFmtId="0" fontId="0" fillId="0" borderId="13" xfId="0" applyBorder="1" applyAlignment="1">
      <alignment horizontal="right"/>
    </xf>
    <xf numFmtId="0" fontId="38" fillId="4" borderId="0" xfId="0" applyFont="1" applyFill="1" applyBorder="1" applyAlignment="1" applyProtection="1">
      <alignment horizontal="center"/>
      <protection locked="0"/>
    </xf>
    <xf numFmtId="0" fontId="8" fillId="0" borderId="14" xfId="0" applyFont="1" applyBorder="1"/>
    <xf numFmtId="0" fontId="38" fillId="0" borderId="0" xfId="0" applyFont="1" applyFill="1" applyBorder="1" applyAlignment="1">
      <alignment vertical="top" wrapText="1"/>
    </xf>
    <xf numFmtId="0" fontId="0" fillId="0" borderId="66" xfId="0" applyBorder="1" applyAlignment="1">
      <alignment horizontal="right"/>
    </xf>
    <xf numFmtId="0" fontId="38" fillId="4" borderId="54" xfId="0" applyFont="1" applyFill="1" applyBorder="1" applyAlignment="1" applyProtection="1">
      <alignment horizontal="center"/>
      <protection locked="0"/>
    </xf>
    <xf numFmtId="0" fontId="8" fillId="0" borderId="67" xfId="0" applyFont="1" applyBorder="1"/>
    <xf numFmtId="0" fontId="0" fillId="2" borderId="13" xfId="0" applyFill="1" applyBorder="1" applyAlignment="1">
      <alignment horizontal="right"/>
    </xf>
    <xf numFmtId="0" fontId="38" fillId="2" borderId="0" xfId="0" applyFont="1" applyFill="1" applyBorder="1" applyAlignment="1">
      <alignment horizontal="center"/>
    </xf>
    <xf numFmtId="0" fontId="8" fillId="2" borderId="14" xfId="0" applyFont="1" applyFill="1" applyBorder="1"/>
    <xf numFmtId="0" fontId="39" fillId="2" borderId="0" xfId="0" applyFont="1" applyFill="1" applyBorder="1" applyAlignment="1">
      <alignment horizontal="center"/>
    </xf>
    <xf numFmtId="0" fontId="0" fillId="2" borderId="14" xfId="0" applyFill="1" applyBorder="1"/>
    <xf numFmtId="0" fontId="7" fillId="2" borderId="13" xfId="0" applyFont="1" applyFill="1" applyBorder="1" applyAlignment="1">
      <alignment vertical="top" wrapText="1"/>
    </xf>
    <xf numFmtId="0" fontId="7" fillId="2" borderId="0" xfId="0" applyFont="1" applyFill="1" applyBorder="1" applyAlignment="1">
      <alignment vertical="top" wrapText="1"/>
    </xf>
    <xf numFmtId="0" fontId="7" fillId="2" borderId="14" xfId="0" applyFont="1" applyFill="1" applyBorder="1" applyAlignment="1">
      <alignment vertical="top" wrapText="1"/>
    </xf>
    <xf numFmtId="0" fontId="7" fillId="0" borderId="0" xfId="0" applyFont="1" applyFill="1" applyBorder="1" applyAlignment="1">
      <alignment vertical="top" wrapText="1"/>
    </xf>
    <xf numFmtId="0" fontId="0" fillId="0" borderId="64" xfId="0" applyBorder="1" applyAlignment="1">
      <alignment horizontal="right"/>
    </xf>
    <xf numFmtId="2" fontId="39" fillId="4" borderId="48" xfId="0" applyNumberFormat="1" applyFont="1" applyFill="1" applyBorder="1" applyAlignment="1">
      <alignment horizontal="center"/>
    </xf>
    <xf numFmtId="2" fontId="0" fillId="0" borderId="65" xfId="0" applyNumberFormat="1" applyBorder="1"/>
    <xf numFmtId="0" fontId="5" fillId="0" borderId="13" xfId="0" applyFont="1" applyBorder="1"/>
    <xf numFmtId="0" fontId="39" fillId="4" borderId="0" xfId="0" applyFont="1" applyFill="1" applyBorder="1" applyAlignment="1">
      <alignment horizontal="center"/>
    </xf>
    <xf numFmtId="0" fontId="39" fillId="0" borderId="0" xfId="0" applyFont="1" applyFill="1" applyBorder="1" applyAlignment="1">
      <alignment vertical="top"/>
    </xf>
    <xf numFmtId="2" fontId="39" fillId="4" borderId="0" xfId="0" applyNumberFormat="1" applyFont="1" applyFill="1" applyBorder="1" applyAlignment="1">
      <alignment horizontal="center"/>
    </xf>
    <xf numFmtId="2" fontId="0" fillId="0" borderId="14" xfId="0" applyNumberFormat="1" applyBorder="1"/>
    <xf numFmtId="0" fontId="39" fillId="4" borderId="54" xfId="0" applyFont="1" applyFill="1" applyBorder="1" applyAlignment="1">
      <alignment horizontal="center"/>
    </xf>
    <xf numFmtId="0" fontId="0" fillId="0" borderId="67" xfId="0" applyBorder="1"/>
    <xf numFmtId="0" fontId="39" fillId="0" borderId="0" xfId="0" applyFont="1" applyFill="1" applyBorder="1" applyAlignment="1">
      <alignment vertical="top" wrapText="1"/>
    </xf>
    <xf numFmtId="1" fontId="39" fillId="4" borderId="48" xfId="0" applyNumberFormat="1" applyFont="1" applyFill="1" applyBorder="1" applyAlignment="1">
      <alignment horizontal="center"/>
    </xf>
    <xf numFmtId="0" fontId="0" fillId="0" borderId="65" xfId="0" applyBorder="1"/>
    <xf numFmtId="165" fontId="39" fillId="4" borderId="0" xfId="0" applyNumberFormat="1" applyFont="1" applyFill="1" applyBorder="1" applyAlignment="1">
      <alignment horizontal="center"/>
    </xf>
    <xf numFmtId="165" fontId="39" fillId="4" borderId="54" xfId="0" applyNumberFormat="1" applyFont="1" applyFill="1" applyBorder="1" applyAlignment="1">
      <alignment horizontal="center"/>
    </xf>
    <xf numFmtId="165" fontId="39" fillId="2" borderId="0" xfId="0" applyNumberFormat="1" applyFont="1" applyFill="1" applyBorder="1" applyAlignment="1">
      <alignment horizontal="center"/>
    </xf>
    <xf numFmtId="0" fontId="7" fillId="0" borderId="0" xfId="0" applyFont="1" applyFill="1" applyBorder="1"/>
    <xf numFmtId="0" fontId="0" fillId="0" borderId="15" xfId="0" applyBorder="1" applyAlignment="1">
      <alignment horizontal="right"/>
    </xf>
    <xf numFmtId="2" fontId="39" fillId="4" borderId="17" xfId="0" applyNumberFormat="1" applyFont="1" applyFill="1" applyBorder="1" applyAlignment="1">
      <alignment horizontal="center"/>
    </xf>
    <xf numFmtId="0" fontId="0" fillId="0" borderId="0" xfId="0" applyProtection="1">
      <protection locked="0"/>
    </xf>
    <xf numFmtId="0" fontId="40" fillId="0" borderId="0" xfId="0" applyFont="1" applyAlignment="1">
      <alignment horizontal="left"/>
    </xf>
    <xf numFmtId="2" fontId="0" fillId="0" borderId="0" xfId="0" applyNumberFormat="1" applyFill="1"/>
    <xf numFmtId="0" fontId="19" fillId="0" borderId="6" xfId="0" applyFont="1" applyBorder="1"/>
    <xf numFmtId="0" fontId="17" fillId="9" borderId="21" xfId="0" applyFont="1" applyFill="1" applyBorder="1" applyAlignment="1">
      <alignment horizontal="center" wrapText="1"/>
    </xf>
    <xf numFmtId="0" fontId="17" fillId="9" borderId="24" xfId="0" applyFont="1" applyFill="1" applyBorder="1" applyAlignment="1">
      <alignment horizontal="center" wrapText="1"/>
    </xf>
    <xf numFmtId="0" fontId="17" fillId="9" borderId="33" xfId="0" applyFont="1" applyFill="1" applyBorder="1" applyAlignment="1">
      <alignment horizontal="center" wrapText="1"/>
    </xf>
    <xf numFmtId="0" fontId="17" fillId="9" borderId="34" xfId="0" applyFont="1" applyFill="1" applyBorder="1" applyAlignment="1">
      <alignment horizontal="center" wrapText="1"/>
    </xf>
    <xf numFmtId="0" fontId="17" fillId="9" borderId="36" xfId="0" applyFont="1" applyFill="1" applyBorder="1" applyAlignment="1">
      <alignment horizontal="center" wrapText="1"/>
    </xf>
    <xf numFmtId="0" fontId="17" fillId="9" borderId="37" xfId="0" applyFont="1" applyFill="1" applyBorder="1" applyAlignment="1">
      <alignment horizontal="center" wrapText="1"/>
    </xf>
    <xf numFmtId="0" fontId="17" fillId="0" borderId="40" xfId="0" applyFont="1" applyBorder="1" applyAlignment="1">
      <alignment wrapText="1"/>
    </xf>
    <xf numFmtId="0" fontId="17" fillId="0" borderId="42" xfId="0" applyFont="1" applyBorder="1" applyAlignment="1">
      <alignment wrapText="1"/>
    </xf>
    <xf numFmtId="0" fontId="17" fillId="0" borderId="43" xfId="0" applyFont="1" applyBorder="1" applyAlignment="1">
      <alignment wrapText="1"/>
    </xf>
    <xf numFmtId="0" fontId="33" fillId="0" borderId="47" xfId="0" applyFont="1" applyBorder="1" applyAlignment="1">
      <alignment vertical="top" wrapText="1"/>
    </xf>
    <xf numFmtId="0" fontId="33" fillId="0" borderId="48" xfId="0" applyFont="1" applyBorder="1" applyAlignment="1">
      <alignment vertical="top" wrapText="1"/>
    </xf>
    <xf numFmtId="0" fontId="33" fillId="0" borderId="49" xfId="0" applyFont="1" applyBorder="1" applyAlignment="1">
      <alignment vertical="top" wrapText="1"/>
    </xf>
    <xf numFmtId="0" fontId="33" fillId="0" borderId="50" xfId="0" applyFont="1" applyBorder="1" applyAlignment="1">
      <alignment vertical="top" wrapText="1"/>
    </xf>
    <xf numFmtId="0" fontId="33" fillId="0" borderId="0" xfId="0" applyFont="1" applyBorder="1" applyAlignment="1">
      <alignment vertical="top" wrapText="1"/>
    </xf>
    <xf numFmtId="0" fontId="33" fillId="0" borderId="51" xfId="0" applyFont="1" applyBorder="1" applyAlignment="1">
      <alignment vertical="top" wrapText="1"/>
    </xf>
    <xf numFmtId="0" fontId="33" fillId="0" borderId="53" xfId="0" applyFont="1" applyBorder="1" applyAlignment="1">
      <alignment vertical="top" wrapText="1"/>
    </xf>
    <xf numFmtId="0" fontId="33" fillId="0" borderId="54" xfId="0" applyFont="1" applyBorder="1" applyAlignment="1">
      <alignment vertical="top" wrapText="1"/>
    </xf>
    <xf numFmtId="0" fontId="33" fillId="0" borderId="55" xfId="0" applyFont="1" applyBorder="1" applyAlignment="1">
      <alignment vertical="top" wrapText="1"/>
    </xf>
    <xf numFmtId="0" fontId="35" fillId="0" borderId="48" xfId="0" applyFont="1" applyBorder="1" applyAlignment="1">
      <alignment vertical="top" wrapText="1"/>
    </xf>
    <xf numFmtId="0" fontId="35" fillId="0" borderId="49" xfId="0" applyFont="1" applyBorder="1" applyAlignment="1">
      <alignment vertical="top" wrapText="1"/>
    </xf>
    <xf numFmtId="0" fontId="35" fillId="0" borderId="50" xfId="0" applyFont="1" applyBorder="1" applyAlignment="1">
      <alignment vertical="top" wrapText="1"/>
    </xf>
    <xf numFmtId="0" fontId="35" fillId="0" borderId="0" xfId="0" applyFont="1" applyBorder="1" applyAlignment="1">
      <alignment vertical="top" wrapText="1"/>
    </xf>
    <xf numFmtId="0" fontId="35" fillId="0" borderId="51" xfId="0" applyFont="1" applyBorder="1" applyAlignment="1">
      <alignment vertical="top" wrapText="1"/>
    </xf>
    <xf numFmtId="0" fontId="35" fillId="0" borderId="53" xfId="0" applyFont="1" applyBorder="1" applyAlignment="1">
      <alignment vertical="top" wrapText="1"/>
    </xf>
    <xf numFmtId="0" fontId="35" fillId="0" borderId="54" xfId="0" applyFont="1" applyBorder="1" applyAlignment="1">
      <alignment vertical="top" wrapText="1"/>
    </xf>
    <xf numFmtId="0" fontId="35" fillId="0" borderId="55" xfId="0" applyFont="1" applyBorder="1" applyAlignment="1">
      <alignment vertical="top" wrapText="1"/>
    </xf>
    <xf numFmtId="0" fontId="26" fillId="0" borderId="53" xfId="0" applyFont="1" applyFill="1" applyBorder="1" applyAlignment="1">
      <alignment vertical="top" wrapText="1"/>
    </xf>
    <xf numFmtId="0" fontId="26" fillId="0" borderId="54" xfId="0" applyFont="1" applyFill="1" applyBorder="1" applyAlignment="1">
      <alignment vertical="top" wrapText="1"/>
    </xf>
    <xf numFmtId="0" fontId="26" fillId="0" borderId="55" xfId="0" applyFont="1" applyFill="1" applyBorder="1" applyAlignment="1">
      <alignment vertical="top" wrapText="1"/>
    </xf>
    <xf numFmtId="0" fontId="26" fillId="0" borderId="47" xfId="0" applyFont="1" applyFill="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0" xfId="0" applyAlignment="1">
      <alignment vertical="top" wrapText="1"/>
    </xf>
    <xf numFmtId="0" fontId="0" fillId="0" borderId="51"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0" xfId="0" applyBorder="1" applyAlignment="1">
      <alignment vertical="top" wrapText="1"/>
    </xf>
    <xf numFmtId="0" fontId="29" fillId="0" borderId="48" xfId="0" applyFont="1" applyFill="1" applyBorder="1" applyAlignment="1">
      <alignment vertical="top" wrapText="1"/>
    </xf>
    <xf numFmtId="0" fontId="29" fillId="0" borderId="49" xfId="0" applyFont="1" applyFill="1" applyBorder="1" applyAlignment="1">
      <alignment vertical="top" wrapText="1"/>
    </xf>
    <xf numFmtId="0" fontId="29" fillId="0" borderId="50" xfId="0" applyFont="1" applyFill="1" applyBorder="1" applyAlignment="1">
      <alignment vertical="top" wrapText="1"/>
    </xf>
    <xf numFmtId="0" fontId="29" fillId="0" borderId="0" xfId="0" applyFont="1" applyFill="1" applyBorder="1" applyAlignment="1">
      <alignment vertical="top" wrapText="1"/>
    </xf>
    <xf numFmtId="0" fontId="29" fillId="0" borderId="51" xfId="0" applyFont="1" applyFill="1" applyBorder="1" applyAlignment="1">
      <alignment vertical="top" wrapText="1"/>
    </xf>
    <xf numFmtId="0" fontId="29" fillId="0" borderId="53" xfId="0" applyFont="1" applyFill="1" applyBorder="1" applyAlignment="1">
      <alignment vertical="top" wrapText="1"/>
    </xf>
    <xf numFmtId="0" fontId="29" fillId="0" borderId="54" xfId="0" applyFont="1" applyFill="1" applyBorder="1" applyAlignment="1">
      <alignment vertical="top" wrapText="1"/>
    </xf>
    <xf numFmtId="0" fontId="29" fillId="0" borderId="55" xfId="0" applyFont="1" applyFill="1" applyBorder="1" applyAlignment="1">
      <alignment vertical="top" wrapText="1"/>
    </xf>
    <xf numFmtId="0" fontId="27" fillId="5" borderId="13" xfId="0" applyFont="1" applyFill="1" applyBorder="1" applyAlignment="1">
      <alignment horizontal="left" wrapText="1"/>
    </xf>
    <xf numFmtId="0" fontId="25" fillId="0" borderId="0" xfId="0" applyFont="1" applyBorder="1" applyAlignment="1">
      <alignment horizontal="left" wrapText="1"/>
    </xf>
    <xf numFmtId="0" fontId="25" fillId="0" borderId="15" xfId="0" applyFont="1" applyBorder="1" applyAlignment="1">
      <alignment horizontal="left" wrapText="1"/>
    </xf>
    <xf numFmtId="0" fontId="25" fillId="0" borderId="17" xfId="0" applyFont="1" applyBorder="1" applyAlignment="1">
      <alignment horizontal="left" wrapText="1"/>
    </xf>
    <xf numFmtId="0" fontId="26" fillId="0" borderId="48" xfId="0" applyFont="1" applyFill="1" applyBorder="1" applyAlignment="1">
      <alignment vertical="top"/>
    </xf>
    <xf numFmtId="0" fontId="26" fillId="0" borderId="49" xfId="0" applyFont="1" applyFill="1" applyBorder="1" applyAlignment="1">
      <alignment vertical="top"/>
    </xf>
    <xf numFmtId="0" fontId="26" fillId="0" borderId="50" xfId="0" applyFont="1" applyFill="1" applyBorder="1" applyAlignment="1">
      <alignment vertical="top"/>
    </xf>
    <xf numFmtId="0" fontId="26" fillId="0" borderId="0" xfId="0" applyFont="1" applyFill="1" applyBorder="1" applyAlignment="1">
      <alignment vertical="top"/>
    </xf>
    <xf numFmtId="0" fontId="26" fillId="0" borderId="51" xfId="0" applyFont="1" applyFill="1" applyBorder="1" applyAlignment="1">
      <alignment vertical="top"/>
    </xf>
    <xf numFmtId="0" fontId="26" fillId="0" borderId="50" xfId="0" applyFont="1" applyFill="1" applyBorder="1" applyAlignment="1"/>
    <xf numFmtId="0" fontId="26" fillId="0" borderId="0" xfId="0" applyFont="1" applyFill="1" applyBorder="1" applyAlignment="1"/>
    <xf numFmtId="0" fontId="26" fillId="0" borderId="51" xfId="0" applyFont="1" applyFill="1" applyBorder="1" applyAlignment="1"/>
    <xf numFmtId="0" fontId="26" fillId="0" borderId="53" xfId="0" applyFont="1" applyFill="1" applyBorder="1" applyAlignment="1"/>
    <xf numFmtId="0" fontId="26" fillId="0" borderId="54" xfId="0" applyFont="1" applyFill="1" applyBorder="1" applyAlignment="1"/>
    <xf numFmtId="0" fontId="26" fillId="0" borderId="55" xfId="0" applyFont="1" applyFill="1" applyBorder="1" applyAlignment="1"/>
    <xf numFmtId="0" fontId="26" fillId="0" borderId="48" xfId="0" applyFont="1" applyFill="1" applyBorder="1" applyAlignment="1">
      <alignment vertical="top" wrapText="1"/>
    </xf>
    <xf numFmtId="0" fontId="26" fillId="0" borderId="49" xfId="0" applyFont="1" applyFill="1" applyBorder="1" applyAlignment="1">
      <alignment vertical="top" wrapText="1"/>
    </xf>
    <xf numFmtId="0" fontId="26" fillId="0" borderId="50" xfId="0" applyFont="1" applyFill="1" applyBorder="1" applyAlignment="1">
      <alignment vertical="top" wrapText="1"/>
    </xf>
    <xf numFmtId="0" fontId="26" fillId="0" borderId="0" xfId="0" applyFont="1" applyFill="1" applyBorder="1" applyAlignment="1">
      <alignment vertical="top" wrapText="1"/>
    </xf>
    <xf numFmtId="0" fontId="26" fillId="0" borderId="51" xfId="0" applyFont="1" applyFill="1" applyBorder="1" applyAlignment="1">
      <alignment vertical="top" wrapText="1"/>
    </xf>
    <xf numFmtId="0" fontId="30" fillId="0" borderId="48" xfId="0" applyFont="1" applyBorder="1" applyAlignment="1">
      <alignment vertical="top" wrapText="1"/>
    </xf>
    <xf numFmtId="0" fontId="30" fillId="0" borderId="49" xfId="0" applyFont="1" applyBorder="1" applyAlignment="1">
      <alignment vertical="top" wrapText="1"/>
    </xf>
    <xf numFmtId="0" fontId="30" fillId="0" borderId="53" xfId="0" applyFont="1" applyBorder="1" applyAlignment="1">
      <alignment vertical="top" wrapText="1"/>
    </xf>
    <xf numFmtId="0" fontId="30" fillId="0" borderId="54" xfId="0" applyFont="1" applyBorder="1" applyAlignment="1">
      <alignment vertical="top" wrapText="1"/>
    </xf>
    <xf numFmtId="0" fontId="30" fillId="0" borderId="55" xfId="0" applyFont="1" applyBorder="1" applyAlignment="1">
      <alignment vertical="top" wrapText="1"/>
    </xf>
    <xf numFmtId="0" fontId="39" fillId="0" borderId="64" xfId="0" applyFont="1" applyBorder="1" applyAlignment="1">
      <alignment vertical="top" wrapText="1"/>
    </xf>
    <xf numFmtId="0" fontId="0" fillId="0" borderId="48" xfId="0" applyBorder="1" applyAlignment="1">
      <alignment wrapText="1"/>
    </xf>
    <xf numFmtId="0" fontId="0" fillId="0" borderId="65"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6" xfId="0" applyBorder="1" applyAlignment="1">
      <alignment wrapText="1"/>
    </xf>
    <xf numFmtId="0" fontId="38" fillId="0" borderId="64" xfId="0" applyFont="1" applyBorder="1" applyAlignment="1" applyProtection="1">
      <alignment vertical="top" wrapText="1"/>
      <protection locked="0"/>
    </xf>
    <xf numFmtId="0" fontId="8" fillId="0" borderId="48" xfId="0" applyFont="1" applyBorder="1" applyAlignment="1" applyProtection="1">
      <alignment vertical="top" wrapText="1"/>
      <protection locked="0"/>
    </xf>
    <xf numFmtId="0" fontId="8" fillId="0" borderId="65" xfId="0" applyFont="1" applyBorder="1" applyAlignment="1" applyProtection="1">
      <alignment vertical="top" wrapText="1"/>
      <protection locked="0"/>
    </xf>
    <xf numFmtId="0" fontId="8" fillId="0" borderId="13"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66" xfId="0" applyFont="1" applyBorder="1" applyAlignment="1" applyProtection="1">
      <alignment vertical="top" wrapText="1"/>
      <protection locked="0"/>
    </xf>
    <xf numFmtId="0" fontId="8" fillId="0" borderId="54" xfId="0" applyFont="1" applyBorder="1" applyAlignment="1" applyProtection="1">
      <alignment vertical="top" wrapText="1"/>
      <protection locked="0"/>
    </xf>
    <xf numFmtId="0" fontId="8" fillId="0" borderId="67" xfId="0" applyFont="1" applyBorder="1" applyAlignment="1" applyProtection="1">
      <alignment vertical="top" wrapText="1"/>
      <protection locked="0"/>
    </xf>
    <xf numFmtId="0" fontId="0" fillId="0" borderId="65"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0" fontId="0" fillId="0" borderId="66" xfId="0" applyBorder="1" applyAlignment="1">
      <alignment wrapText="1"/>
    </xf>
    <xf numFmtId="0" fontId="0" fillId="0" borderId="54" xfId="0" applyBorder="1" applyAlignment="1">
      <alignment wrapText="1"/>
    </xf>
    <xf numFmtId="0" fontId="0" fillId="0" borderId="67" xfId="0" applyBorder="1" applyAlignment="1">
      <alignment wrapText="1"/>
    </xf>
  </cellXfs>
  <cellStyles count="2">
    <cellStyle name="Hyperlink" xfId="1" builtinId="8"/>
    <cellStyle name="Normal" xfId="0" builtinId="0"/>
  </cellStyles>
  <dxfs count="19">
    <dxf>
      <font>
        <b/>
        <i val="0"/>
        <condense val="0"/>
        <extend val="0"/>
        <color indexed="10"/>
      </font>
    </dxf>
    <dxf>
      <font>
        <b val="0"/>
        <i val="0"/>
        <condense val="0"/>
        <extend val="0"/>
        <color indexed="53"/>
      </font>
    </dxf>
    <dxf>
      <font>
        <b/>
        <i val="0"/>
        <condense val="0"/>
        <extend val="0"/>
        <color indexed="10"/>
      </font>
    </dxf>
    <dxf>
      <font>
        <b/>
        <i val="0"/>
        <condense val="0"/>
        <extend val="0"/>
        <color indexed="10"/>
      </font>
    </dxf>
    <dxf>
      <font>
        <b/>
        <i val="0"/>
        <condense val="0"/>
        <extend val="0"/>
        <color indexed="52"/>
      </font>
    </dxf>
    <dxf>
      <font>
        <b/>
        <i val="0"/>
        <condense val="0"/>
        <extend val="0"/>
        <color indexed="53"/>
      </font>
    </dxf>
    <dxf>
      <font>
        <condense val="0"/>
        <extend val="0"/>
        <color indexed="53"/>
      </font>
    </dxf>
    <dxf>
      <font>
        <condense val="0"/>
        <extend val="0"/>
        <color indexed="53"/>
      </font>
    </dxf>
    <dxf>
      <font>
        <b/>
        <i val="0"/>
        <condense val="0"/>
        <extend val="0"/>
        <color indexed="10"/>
      </font>
    </dxf>
    <dxf>
      <font>
        <condense val="0"/>
        <extend val="0"/>
        <color indexed="9"/>
      </font>
    </dxf>
    <dxf>
      <font>
        <b/>
        <i val="0"/>
        <condense val="0"/>
        <extend val="0"/>
        <color indexed="10"/>
      </font>
    </dxf>
    <dxf>
      <font>
        <condense val="0"/>
        <extend val="0"/>
        <color indexed="17"/>
      </font>
    </dxf>
    <dxf>
      <font>
        <b/>
        <i val="0"/>
        <condense val="0"/>
        <extend val="0"/>
        <color indexed="10"/>
      </font>
    </dxf>
    <dxf>
      <font>
        <b/>
        <i val="0"/>
        <condense val="0"/>
        <extend val="0"/>
        <color indexed="10"/>
      </font>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hyperlink" Target="http://www.coagmet.com/#www.coagmet.com"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295275</xdr:colOff>
      <xdr:row>4</xdr:row>
      <xdr:rowOff>114300</xdr:rowOff>
    </xdr:from>
    <xdr:to>
      <xdr:col>17</xdr:col>
      <xdr:colOff>247650</xdr:colOff>
      <xdr:row>13</xdr:row>
      <xdr:rowOff>19050</xdr:rowOff>
    </xdr:to>
    <xdr:pic>
      <xdr:nvPicPr>
        <xdr:cNvPr id="2"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9201150" y="838200"/>
          <a:ext cx="1781175" cy="1409700"/>
        </a:xfrm>
        <a:prstGeom prst="rect">
          <a:avLst/>
        </a:prstGeom>
        <a:noFill/>
        <a:ln w="38100" cmpd="dbl">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4</xdr:row>
      <xdr:rowOff>38100</xdr:rowOff>
    </xdr:from>
    <xdr:to>
      <xdr:col>1</xdr:col>
      <xdr:colOff>371475</xdr:colOff>
      <xdr:row>18</xdr:row>
      <xdr:rowOff>123825</xdr:rowOff>
    </xdr:to>
    <xdr:sp macro="" textlink="">
      <xdr:nvSpPr>
        <xdr:cNvPr id="2" name="Line 11"/>
        <xdr:cNvSpPr>
          <a:spLocks noChangeShapeType="1"/>
        </xdr:cNvSpPr>
      </xdr:nvSpPr>
      <xdr:spPr bwMode="auto">
        <a:xfrm>
          <a:off x="609600" y="666750"/>
          <a:ext cx="0" cy="2352675"/>
        </a:xfrm>
        <a:prstGeom prst="line">
          <a:avLst/>
        </a:prstGeom>
        <a:noFill/>
        <a:ln w="9525">
          <a:solidFill>
            <a:srgbClr val="000000"/>
          </a:solidFill>
          <a:round/>
          <a:headEnd/>
          <a:tailEnd type="triangle" w="med" len="med"/>
        </a:ln>
      </xdr:spPr>
    </xdr:sp>
    <xdr:clientData/>
  </xdr:twoCellAnchor>
  <xdr:twoCellAnchor>
    <xdr:from>
      <xdr:col>3</xdr:col>
      <xdr:colOff>342900</xdr:colOff>
      <xdr:row>4</xdr:row>
      <xdr:rowOff>57150</xdr:rowOff>
    </xdr:from>
    <xdr:to>
      <xdr:col>3</xdr:col>
      <xdr:colOff>342900</xdr:colOff>
      <xdr:row>18</xdr:row>
      <xdr:rowOff>142875</xdr:rowOff>
    </xdr:to>
    <xdr:sp macro="" textlink="">
      <xdr:nvSpPr>
        <xdr:cNvPr id="3" name="Line 12"/>
        <xdr:cNvSpPr>
          <a:spLocks noChangeShapeType="1"/>
        </xdr:cNvSpPr>
      </xdr:nvSpPr>
      <xdr:spPr bwMode="auto">
        <a:xfrm>
          <a:off x="1800225" y="685800"/>
          <a:ext cx="0" cy="2352675"/>
        </a:xfrm>
        <a:prstGeom prst="line">
          <a:avLst/>
        </a:prstGeom>
        <a:noFill/>
        <a:ln w="9525">
          <a:solidFill>
            <a:srgbClr val="000000"/>
          </a:solidFill>
          <a:round/>
          <a:headEnd type="triangle" w="med" len="med"/>
          <a:tailEnd/>
        </a:ln>
      </xdr:spPr>
    </xdr:sp>
    <xdr:clientData/>
  </xdr:twoCellAnchor>
  <xdr:twoCellAnchor>
    <xdr:from>
      <xdr:col>16</xdr:col>
      <xdr:colOff>361950</xdr:colOff>
      <xdr:row>4</xdr:row>
      <xdr:rowOff>28575</xdr:rowOff>
    </xdr:from>
    <xdr:to>
      <xdr:col>16</xdr:col>
      <xdr:colOff>361950</xdr:colOff>
      <xdr:row>18</xdr:row>
      <xdr:rowOff>114300</xdr:rowOff>
    </xdr:to>
    <xdr:sp macro="" textlink="">
      <xdr:nvSpPr>
        <xdr:cNvPr id="4" name="Line 13"/>
        <xdr:cNvSpPr>
          <a:spLocks noChangeShapeType="1"/>
        </xdr:cNvSpPr>
      </xdr:nvSpPr>
      <xdr:spPr bwMode="auto">
        <a:xfrm>
          <a:off x="7315200" y="657225"/>
          <a:ext cx="0" cy="2352675"/>
        </a:xfrm>
        <a:prstGeom prst="line">
          <a:avLst/>
        </a:prstGeom>
        <a:noFill/>
        <a:ln w="9525">
          <a:solidFill>
            <a:srgbClr val="000000"/>
          </a:solidFill>
          <a:round/>
          <a:headEnd/>
          <a:tailEnd type="triangle" w="med" len="med"/>
        </a:ln>
      </xdr:spPr>
    </xdr:sp>
    <xdr:clientData/>
  </xdr:twoCellAnchor>
  <xdr:twoCellAnchor>
    <xdr:from>
      <xdr:col>18</xdr:col>
      <xdr:colOff>333375</xdr:colOff>
      <xdr:row>4</xdr:row>
      <xdr:rowOff>47625</xdr:rowOff>
    </xdr:from>
    <xdr:to>
      <xdr:col>18</xdr:col>
      <xdr:colOff>333375</xdr:colOff>
      <xdr:row>18</xdr:row>
      <xdr:rowOff>133350</xdr:rowOff>
    </xdr:to>
    <xdr:sp macro="" textlink="">
      <xdr:nvSpPr>
        <xdr:cNvPr id="5" name="Line 14"/>
        <xdr:cNvSpPr>
          <a:spLocks noChangeShapeType="1"/>
        </xdr:cNvSpPr>
      </xdr:nvSpPr>
      <xdr:spPr bwMode="auto">
        <a:xfrm>
          <a:off x="8505825" y="676275"/>
          <a:ext cx="0" cy="2352675"/>
        </a:xfrm>
        <a:prstGeom prst="line">
          <a:avLst/>
        </a:prstGeom>
        <a:noFill/>
        <a:ln w="9525">
          <a:solidFill>
            <a:srgbClr val="000000"/>
          </a:solidFill>
          <a:round/>
          <a:headEnd type="triangle"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266700</xdr:colOff>
      <xdr:row>34</xdr:row>
      <xdr:rowOff>95250</xdr:rowOff>
    </xdr:from>
    <xdr:to>
      <xdr:col>9</xdr:col>
      <xdr:colOff>66675</xdr:colOff>
      <xdr:row>35</xdr:row>
      <xdr:rowOff>104775</xdr:rowOff>
    </xdr:to>
    <xdr:sp macro="" textlink="">
      <xdr:nvSpPr>
        <xdr:cNvPr id="2" name="Text Box 23">
          <a:hlinkClick xmlns:r="http://schemas.openxmlformats.org/officeDocument/2006/relationships" r:id="rId1"/>
        </xdr:cNvPr>
        <xdr:cNvSpPr txBox="1">
          <a:spLocks noChangeArrowheads="1"/>
        </xdr:cNvSpPr>
      </xdr:nvSpPr>
      <xdr:spPr bwMode="auto">
        <a:xfrm>
          <a:off x="4762500" y="5200650"/>
          <a:ext cx="101917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u="sng" strike="noStrike" baseline="0">
              <a:solidFill>
                <a:srgbClr val="0000FF"/>
              </a:solidFill>
              <a:latin typeface="Arial"/>
              <a:cs typeface="Arial"/>
            </a:rPr>
            <a:t>www.coagmet.com</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66676</xdr:colOff>
      <xdr:row>26</xdr:row>
      <xdr:rowOff>85726</xdr:rowOff>
    </xdr:from>
    <xdr:to>
      <xdr:col>4</xdr:col>
      <xdr:colOff>276226</xdr:colOff>
      <xdr:row>34</xdr:row>
      <xdr:rowOff>130550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85876" y="5105401"/>
          <a:ext cx="1676400" cy="1568824"/>
        </a:xfrm>
        <a:prstGeom prst="rect">
          <a:avLst/>
        </a:prstGeom>
        <a:noFill/>
        <a:ln w="38100" cmpd="dbl">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willson\AppData\Local\Microsoft\Windows\Temporary%20Internet%20Files\Content.Outlook\JH87K6C2\SmAc%20Audit%20Side-Roll%20V1.3%2010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
      <sheetName val="Snapshot"/>
      <sheetName val="Seasonal"/>
      <sheetName val="Report"/>
      <sheetName val="Conversions"/>
    </sheetNames>
    <sheetDataSet>
      <sheetData sheetId="0">
        <row r="6">
          <cell r="D6">
            <v>1.3996370162172747</v>
          </cell>
        </row>
        <row r="8">
          <cell r="D8" t="str">
            <v>Pasture/Turf</v>
          </cell>
          <cell r="E8">
            <v>24</v>
          </cell>
        </row>
        <row r="9">
          <cell r="D9" t="str">
            <v>Silt Loam</v>
          </cell>
        </row>
        <row r="23">
          <cell r="C23">
            <v>11.5</v>
          </cell>
        </row>
        <row r="25">
          <cell r="C25">
            <v>69.282032302755098</v>
          </cell>
        </row>
        <row r="29">
          <cell r="D29">
            <v>0.49670048960476831</v>
          </cell>
        </row>
        <row r="30">
          <cell r="D30">
            <v>0.85855500040693156</v>
          </cell>
          <cell r="M30">
            <v>4.447965705736121</v>
          </cell>
        </row>
        <row r="31">
          <cell r="M31">
            <v>3.8188231982982921</v>
          </cell>
        </row>
        <row r="33">
          <cell r="D33">
            <v>3.2</v>
          </cell>
        </row>
        <row r="34">
          <cell r="D34">
            <v>0.61882319829829191</v>
          </cell>
        </row>
        <row r="35">
          <cell r="D35">
            <v>0.71943000726675177</v>
          </cell>
        </row>
      </sheetData>
      <sheetData sheetId="1">
        <row r="28">
          <cell r="F28">
            <v>0.4542925781917535</v>
          </cell>
          <cell r="U28">
            <v>0.20985058672968862</v>
          </cell>
        </row>
        <row r="29">
          <cell r="F29">
            <v>0.42511261261261263</v>
          </cell>
        </row>
        <row r="33">
          <cell r="F33">
            <v>0.49670048960476831</v>
          </cell>
        </row>
        <row r="34">
          <cell r="F34">
            <v>0.33207158246072105</v>
          </cell>
        </row>
      </sheetData>
      <sheetData sheetId="2">
        <row r="3">
          <cell r="N3" t="str">
            <v>Optimum or above optimum infiltration: soils are well maintained. Check measurements for above optimum flows and be careful that deep percolation and/or groundwater flows are not interferring with neighboring irrigation water management or river basin salinity problems.</v>
          </cell>
        </row>
        <row r="7">
          <cell r="C7">
            <v>0.61882319829829191</v>
          </cell>
        </row>
        <row r="16">
          <cell r="N16" t="str">
            <v>Even grade field: is a good foundation for effective irrigation. It's important that topography is accounted for with sufficient line pressure.</v>
          </cell>
        </row>
        <row r="20">
          <cell r="N20" t="str">
            <v>Poor DU (&lt;50%) Application Rate at end heads is lower than middle. Recommend: address supply problem - line/nozzle size or (pump) pressure</v>
          </cell>
        </row>
        <row r="25">
          <cell r="Z25" t="str">
            <v>Pasture/Turf</v>
          </cell>
          <cell r="AA25" t="str">
            <v>grass</v>
          </cell>
        </row>
        <row r="26">
          <cell r="N26" t="str">
            <v>Additional DU recommendations: Need less distance between moves (69ft) for every move across field technique</v>
          </cell>
          <cell r="Z26" t="str">
            <v>Alfalfa</v>
          </cell>
          <cell r="AA26" t="str">
            <v>alfalfa</v>
          </cell>
        </row>
        <row r="27">
          <cell r="Z27" t="str">
            <v>Corn</v>
          </cell>
          <cell r="AA27" t="str">
            <v>corn (grain)</v>
          </cell>
        </row>
        <row r="28">
          <cell r="Z28" t="e">
            <v>#REF!</v>
          </cell>
          <cell r="AA28" t="str">
            <v>corn (silage)</v>
          </cell>
        </row>
        <row r="29">
          <cell r="Z29" t="e">
            <v>#REF!</v>
          </cell>
          <cell r="AA29" t="str">
            <v>winter grain</v>
          </cell>
        </row>
        <row r="30">
          <cell r="N30" t="str">
            <v>Seasonal Irrigation Efficiency is good. Continue to monitor soil moisture and local ET values to enhance your irrigation management.</v>
          </cell>
          <cell r="Z30" t="str">
            <v/>
          </cell>
          <cell r="AA30" t="str">
            <v>spring grain</v>
          </cell>
        </row>
        <row r="31">
          <cell r="Z31" t="str">
            <v>Beans</v>
          </cell>
          <cell r="AA31" t="str">
            <v>dry beans</v>
          </cell>
        </row>
        <row r="32">
          <cell r="Z32" t="str">
            <v>Orchard</v>
          </cell>
          <cell r="AA32" t="str">
            <v>orchard (cover)</v>
          </cell>
        </row>
        <row r="33">
          <cell r="Z33" t="str">
            <v/>
          </cell>
          <cell r="AA33" t="str">
            <v>orchard (no cover)</v>
          </cell>
        </row>
        <row r="34">
          <cell r="AA34" t="str">
            <v>vegetables</v>
          </cell>
        </row>
        <row r="35">
          <cell r="C35">
            <v>0.51764547413793094</v>
          </cell>
          <cell r="Z35" t="str">
            <v>Grapes</v>
          </cell>
          <cell r="AA35" t="str">
            <v>Grapes</v>
          </cell>
        </row>
        <row r="37">
          <cell r="N37" t="str">
            <v/>
          </cell>
        </row>
      </sheetData>
      <sheetData sheetId="3" refreshError="1"/>
      <sheetData sheetId="4">
        <row r="2">
          <cell r="B2">
            <v>43560</v>
          </cell>
        </row>
        <row r="4">
          <cell r="B4">
            <v>325851.38500000001</v>
          </cell>
        </row>
        <row r="5">
          <cell r="B5">
            <v>448.8</v>
          </cell>
        </row>
        <row r="8">
          <cell r="B8">
            <v>6.1023743836800003E-2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nis.Reich@Colostate.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ebsoilsurvey.nrcs.usda.gov/app/HomePage.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61"/>
  <sheetViews>
    <sheetView tabSelected="1" workbookViewId="0">
      <selection activeCell="A26" sqref="A26"/>
    </sheetView>
  </sheetViews>
  <sheetFormatPr defaultRowHeight="15" x14ac:dyDescent="0.25"/>
  <cols>
    <col min="1" max="1" width="3.140625" customWidth="1"/>
    <col min="2" max="2" width="11.85546875" customWidth="1"/>
    <col min="3" max="3" width="14.5703125" customWidth="1"/>
    <col min="4" max="4" width="11.85546875" customWidth="1"/>
    <col min="5" max="5" width="9" customWidth="1"/>
    <col min="6" max="6" width="10.7109375" customWidth="1"/>
    <col min="7" max="7" width="9.85546875" customWidth="1"/>
    <col min="9" max="9" width="10.42578125" customWidth="1"/>
    <col min="13" max="13" width="9.5703125" bestFit="1" customWidth="1"/>
    <col min="14" max="14" width="6" customWidth="1"/>
    <col min="257" max="257" width="3.140625" customWidth="1"/>
    <col min="258" max="258" width="11.85546875" customWidth="1"/>
    <col min="259" max="259" width="14.5703125" customWidth="1"/>
    <col min="260" max="260" width="11.85546875" customWidth="1"/>
    <col min="261" max="261" width="9" customWidth="1"/>
    <col min="262" max="262" width="10.7109375" customWidth="1"/>
    <col min="263" max="263" width="9.85546875" customWidth="1"/>
    <col min="265" max="265" width="10.42578125" customWidth="1"/>
    <col min="269" max="269" width="9.5703125" bestFit="1" customWidth="1"/>
    <col min="270" max="270" width="6" customWidth="1"/>
    <col min="513" max="513" width="3.140625" customWidth="1"/>
    <col min="514" max="514" width="11.85546875" customWidth="1"/>
    <col min="515" max="515" width="14.5703125" customWidth="1"/>
    <col min="516" max="516" width="11.85546875" customWidth="1"/>
    <col min="517" max="517" width="9" customWidth="1"/>
    <col min="518" max="518" width="10.7109375" customWidth="1"/>
    <col min="519" max="519" width="9.85546875" customWidth="1"/>
    <col min="521" max="521" width="10.42578125" customWidth="1"/>
    <col min="525" max="525" width="9.5703125" bestFit="1" customWidth="1"/>
    <col min="526" max="526" width="6" customWidth="1"/>
    <col min="769" max="769" width="3.140625" customWidth="1"/>
    <col min="770" max="770" width="11.85546875" customWidth="1"/>
    <col min="771" max="771" width="14.5703125" customWidth="1"/>
    <col min="772" max="772" width="11.85546875" customWidth="1"/>
    <col min="773" max="773" width="9" customWidth="1"/>
    <col min="774" max="774" width="10.7109375" customWidth="1"/>
    <col min="775" max="775" width="9.85546875" customWidth="1"/>
    <col min="777" max="777" width="10.42578125" customWidth="1"/>
    <col min="781" max="781" width="9.5703125" bestFit="1" customWidth="1"/>
    <col min="782" max="782" width="6" customWidth="1"/>
    <col min="1025" max="1025" width="3.140625" customWidth="1"/>
    <col min="1026" max="1026" width="11.85546875" customWidth="1"/>
    <col min="1027" max="1027" width="14.5703125" customWidth="1"/>
    <col min="1028" max="1028" width="11.85546875" customWidth="1"/>
    <col min="1029" max="1029" width="9" customWidth="1"/>
    <col min="1030" max="1030" width="10.7109375" customWidth="1"/>
    <col min="1031" max="1031" width="9.85546875" customWidth="1"/>
    <col min="1033" max="1033" width="10.42578125" customWidth="1"/>
    <col min="1037" max="1037" width="9.5703125" bestFit="1" customWidth="1"/>
    <col min="1038" max="1038" width="6" customWidth="1"/>
    <col min="1281" max="1281" width="3.140625" customWidth="1"/>
    <col min="1282" max="1282" width="11.85546875" customWidth="1"/>
    <col min="1283" max="1283" width="14.5703125" customWidth="1"/>
    <col min="1284" max="1284" width="11.85546875" customWidth="1"/>
    <col min="1285" max="1285" width="9" customWidth="1"/>
    <col min="1286" max="1286" width="10.7109375" customWidth="1"/>
    <col min="1287" max="1287" width="9.85546875" customWidth="1"/>
    <col min="1289" max="1289" width="10.42578125" customWidth="1"/>
    <col min="1293" max="1293" width="9.5703125" bestFit="1" customWidth="1"/>
    <col min="1294" max="1294" width="6" customWidth="1"/>
    <col min="1537" max="1537" width="3.140625" customWidth="1"/>
    <col min="1538" max="1538" width="11.85546875" customWidth="1"/>
    <col min="1539" max="1539" width="14.5703125" customWidth="1"/>
    <col min="1540" max="1540" width="11.85546875" customWidth="1"/>
    <col min="1541" max="1541" width="9" customWidth="1"/>
    <col min="1542" max="1542" width="10.7109375" customWidth="1"/>
    <col min="1543" max="1543" width="9.85546875" customWidth="1"/>
    <col min="1545" max="1545" width="10.42578125" customWidth="1"/>
    <col min="1549" max="1549" width="9.5703125" bestFit="1" customWidth="1"/>
    <col min="1550" max="1550" width="6" customWidth="1"/>
    <col min="1793" max="1793" width="3.140625" customWidth="1"/>
    <col min="1794" max="1794" width="11.85546875" customWidth="1"/>
    <col min="1795" max="1795" width="14.5703125" customWidth="1"/>
    <col min="1796" max="1796" width="11.85546875" customWidth="1"/>
    <col min="1797" max="1797" width="9" customWidth="1"/>
    <col min="1798" max="1798" width="10.7109375" customWidth="1"/>
    <col min="1799" max="1799" width="9.85546875" customWidth="1"/>
    <col min="1801" max="1801" width="10.42578125" customWidth="1"/>
    <col min="1805" max="1805" width="9.5703125" bestFit="1" customWidth="1"/>
    <col min="1806" max="1806" width="6" customWidth="1"/>
    <col min="2049" max="2049" width="3.140625" customWidth="1"/>
    <col min="2050" max="2050" width="11.85546875" customWidth="1"/>
    <col min="2051" max="2051" width="14.5703125" customWidth="1"/>
    <col min="2052" max="2052" width="11.85546875" customWidth="1"/>
    <col min="2053" max="2053" width="9" customWidth="1"/>
    <col min="2054" max="2054" width="10.7109375" customWidth="1"/>
    <col min="2055" max="2055" width="9.85546875" customWidth="1"/>
    <col min="2057" max="2057" width="10.42578125" customWidth="1"/>
    <col min="2061" max="2061" width="9.5703125" bestFit="1" customWidth="1"/>
    <col min="2062" max="2062" width="6" customWidth="1"/>
    <col min="2305" max="2305" width="3.140625" customWidth="1"/>
    <col min="2306" max="2306" width="11.85546875" customWidth="1"/>
    <col min="2307" max="2307" width="14.5703125" customWidth="1"/>
    <col min="2308" max="2308" width="11.85546875" customWidth="1"/>
    <col min="2309" max="2309" width="9" customWidth="1"/>
    <col min="2310" max="2310" width="10.7109375" customWidth="1"/>
    <col min="2311" max="2311" width="9.85546875" customWidth="1"/>
    <col min="2313" max="2313" width="10.42578125" customWidth="1"/>
    <col min="2317" max="2317" width="9.5703125" bestFit="1" customWidth="1"/>
    <col min="2318" max="2318" width="6" customWidth="1"/>
    <col min="2561" max="2561" width="3.140625" customWidth="1"/>
    <col min="2562" max="2562" width="11.85546875" customWidth="1"/>
    <col min="2563" max="2563" width="14.5703125" customWidth="1"/>
    <col min="2564" max="2564" width="11.85546875" customWidth="1"/>
    <col min="2565" max="2565" width="9" customWidth="1"/>
    <col min="2566" max="2566" width="10.7109375" customWidth="1"/>
    <col min="2567" max="2567" width="9.85546875" customWidth="1"/>
    <col min="2569" max="2569" width="10.42578125" customWidth="1"/>
    <col min="2573" max="2573" width="9.5703125" bestFit="1" customWidth="1"/>
    <col min="2574" max="2574" width="6" customWidth="1"/>
    <col min="2817" max="2817" width="3.140625" customWidth="1"/>
    <col min="2818" max="2818" width="11.85546875" customWidth="1"/>
    <col min="2819" max="2819" width="14.5703125" customWidth="1"/>
    <col min="2820" max="2820" width="11.85546875" customWidth="1"/>
    <col min="2821" max="2821" width="9" customWidth="1"/>
    <col min="2822" max="2822" width="10.7109375" customWidth="1"/>
    <col min="2823" max="2823" width="9.85546875" customWidth="1"/>
    <col min="2825" max="2825" width="10.42578125" customWidth="1"/>
    <col min="2829" max="2829" width="9.5703125" bestFit="1" customWidth="1"/>
    <col min="2830" max="2830" width="6" customWidth="1"/>
    <col min="3073" max="3073" width="3.140625" customWidth="1"/>
    <col min="3074" max="3074" width="11.85546875" customWidth="1"/>
    <col min="3075" max="3075" width="14.5703125" customWidth="1"/>
    <col min="3076" max="3076" width="11.85546875" customWidth="1"/>
    <col min="3077" max="3077" width="9" customWidth="1"/>
    <col min="3078" max="3078" width="10.7109375" customWidth="1"/>
    <col min="3079" max="3079" width="9.85546875" customWidth="1"/>
    <col min="3081" max="3081" width="10.42578125" customWidth="1"/>
    <col min="3085" max="3085" width="9.5703125" bestFit="1" customWidth="1"/>
    <col min="3086" max="3086" width="6" customWidth="1"/>
    <col min="3329" max="3329" width="3.140625" customWidth="1"/>
    <col min="3330" max="3330" width="11.85546875" customWidth="1"/>
    <col min="3331" max="3331" width="14.5703125" customWidth="1"/>
    <col min="3332" max="3332" width="11.85546875" customWidth="1"/>
    <col min="3333" max="3333" width="9" customWidth="1"/>
    <col min="3334" max="3334" width="10.7109375" customWidth="1"/>
    <col min="3335" max="3335" width="9.85546875" customWidth="1"/>
    <col min="3337" max="3337" width="10.42578125" customWidth="1"/>
    <col min="3341" max="3341" width="9.5703125" bestFit="1" customWidth="1"/>
    <col min="3342" max="3342" width="6" customWidth="1"/>
    <col min="3585" max="3585" width="3.140625" customWidth="1"/>
    <col min="3586" max="3586" width="11.85546875" customWidth="1"/>
    <col min="3587" max="3587" width="14.5703125" customWidth="1"/>
    <col min="3588" max="3588" width="11.85546875" customWidth="1"/>
    <col min="3589" max="3589" width="9" customWidth="1"/>
    <col min="3590" max="3590" width="10.7109375" customWidth="1"/>
    <col min="3591" max="3591" width="9.85546875" customWidth="1"/>
    <col min="3593" max="3593" width="10.42578125" customWidth="1"/>
    <col min="3597" max="3597" width="9.5703125" bestFit="1" customWidth="1"/>
    <col min="3598" max="3598" width="6" customWidth="1"/>
    <col min="3841" max="3841" width="3.140625" customWidth="1"/>
    <col min="3842" max="3842" width="11.85546875" customWidth="1"/>
    <col min="3843" max="3843" width="14.5703125" customWidth="1"/>
    <col min="3844" max="3844" width="11.85546875" customWidth="1"/>
    <col min="3845" max="3845" width="9" customWidth="1"/>
    <col min="3846" max="3846" width="10.7109375" customWidth="1"/>
    <col min="3847" max="3847" width="9.85546875" customWidth="1"/>
    <col min="3849" max="3849" width="10.42578125" customWidth="1"/>
    <col min="3853" max="3853" width="9.5703125" bestFit="1" customWidth="1"/>
    <col min="3854" max="3854" width="6" customWidth="1"/>
    <col min="4097" max="4097" width="3.140625" customWidth="1"/>
    <col min="4098" max="4098" width="11.85546875" customWidth="1"/>
    <col min="4099" max="4099" width="14.5703125" customWidth="1"/>
    <col min="4100" max="4100" width="11.85546875" customWidth="1"/>
    <col min="4101" max="4101" width="9" customWidth="1"/>
    <col min="4102" max="4102" width="10.7109375" customWidth="1"/>
    <col min="4103" max="4103" width="9.85546875" customWidth="1"/>
    <col min="4105" max="4105" width="10.42578125" customWidth="1"/>
    <col min="4109" max="4109" width="9.5703125" bestFit="1" customWidth="1"/>
    <col min="4110" max="4110" width="6" customWidth="1"/>
    <col min="4353" max="4353" width="3.140625" customWidth="1"/>
    <col min="4354" max="4354" width="11.85546875" customWidth="1"/>
    <col min="4355" max="4355" width="14.5703125" customWidth="1"/>
    <col min="4356" max="4356" width="11.85546875" customWidth="1"/>
    <col min="4357" max="4357" width="9" customWidth="1"/>
    <col min="4358" max="4358" width="10.7109375" customWidth="1"/>
    <col min="4359" max="4359" width="9.85546875" customWidth="1"/>
    <col min="4361" max="4361" width="10.42578125" customWidth="1"/>
    <col min="4365" max="4365" width="9.5703125" bestFit="1" customWidth="1"/>
    <col min="4366" max="4366" width="6" customWidth="1"/>
    <col min="4609" max="4609" width="3.140625" customWidth="1"/>
    <col min="4610" max="4610" width="11.85546875" customWidth="1"/>
    <col min="4611" max="4611" width="14.5703125" customWidth="1"/>
    <col min="4612" max="4612" width="11.85546875" customWidth="1"/>
    <col min="4613" max="4613" width="9" customWidth="1"/>
    <col min="4614" max="4614" width="10.7109375" customWidth="1"/>
    <col min="4615" max="4615" width="9.85546875" customWidth="1"/>
    <col min="4617" max="4617" width="10.42578125" customWidth="1"/>
    <col min="4621" max="4621" width="9.5703125" bestFit="1" customWidth="1"/>
    <col min="4622" max="4622" width="6" customWidth="1"/>
    <col min="4865" max="4865" width="3.140625" customWidth="1"/>
    <col min="4866" max="4866" width="11.85546875" customWidth="1"/>
    <col min="4867" max="4867" width="14.5703125" customWidth="1"/>
    <col min="4868" max="4868" width="11.85546875" customWidth="1"/>
    <col min="4869" max="4869" width="9" customWidth="1"/>
    <col min="4870" max="4870" width="10.7109375" customWidth="1"/>
    <col min="4871" max="4871" width="9.85546875" customWidth="1"/>
    <col min="4873" max="4873" width="10.42578125" customWidth="1"/>
    <col min="4877" max="4877" width="9.5703125" bestFit="1" customWidth="1"/>
    <col min="4878" max="4878" width="6" customWidth="1"/>
    <col min="5121" max="5121" width="3.140625" customWidth="1"/>
    <col min="5122" max="5122" width="11.85546875" customWidth="1"/>
    <col min="5123" max="5123" width="14.5703125" customWidth="1"/>
    <col min="5124" max="5124" width="11.85546875" customWidth="1"/>
    <col min="5125" max="5125" width="9" customWidth="1"/>
    <col min="5126" max="5126" width="10.7109375" customWidth="1"/>
    <col min="5127" max="5127" width="9.85546875" customWidth="1"/>
    <col min="5129" max="5129" width="10.42578125" customWidth="1"/>
    <col min="5133" max="5133" width="9.5703125" bestFit="1" customWidth="1"/>
    <col min="5134" max="5134" width="6" customWidth="1"/>
    <col min="5377" max="5377" width="3.140625" customWidth="1"/>
    <col min="5378" max="5378" width="11.85546875" customWidth="1"/>
    <col min="5379" max="5379" width="14.5703125" customWidth="1"/>
    <col min="5380" max="5380" width="11.85546875" customWidth="1"/>
    <col min="5381" max="5381" width="9" customWidth="1"/>
    <col min="5382" max="5382" width="10.7109375" customWidth="1"/>
    <col min="5383" max="5383" width="9.85546875" customWidth="1"/>
    <col min="5385" max="5385" width="10.42578125" customWidth="1"/>
    <col min="5389" max="5389" width="9.5703125" bestFit="1" customWidth="1"/>
    <col min="5390" max="5390" width="6" customWidth="1"/>
    <col min="5633" max="5633" width="3.140625" customWidth="1"/>
    <col min="5634" max="5634" width="11.85546875" customWidth="1"/>
    <col min="5635" max="5635" width="14.5703125" customWidth="1"/>
    <col min="5636" max="5636" width="11.85546875" customWidth="1"/>
    <col min="5637" max="5637" width="9" customWidth="1"/>
    <col min="5638" max="5638" width="10.7109375" customWidth="1"/>
    <col min="5639" max="5639" width="9.85546875" customWidth="1"/>
    <col min="5641" max="5641" width="10.42578125" customWidth="1"/>
    <col min="5645" max="5645" width="9.5703125" bestFit="1" customWidth="1"/>
    <col min="5646" max="5646" width="6" customWidth="1"/>
    <col min="5889" max="5889" width="3.140625" customWidth="1"/>
    <col min="5890" max="5890" width="11.85546875" customWidth="1"/>
    <col min="5891" max="5891" width="14.5703125" customWidth="1"/>
    <col min="5892" max="5892" width="11.85546875" customWidth="1"/>
    <col min="5893" max="5893" width="9" customWidth="1"/>
    <col min="5894" max="5894" width="10.7109375" customWidth="1"/>
    <col min="5895" max="5895" width="9.85546875" customWidth="1"/>
    <col min="5897" max="5897" width="10.42578125" customWidth="1"/>
    <col min="5901" max="5901" width="9.5703125" bestFit="1" customWidth="1"/>
    <col min="5902" max="5902" width="6" customWidth="1"/>
    <col min="6145" max="6145" width="3.140625" customWidth="1"/>
    <col min="6146" max="6146" width="11.85546875" customWidth="1"/>
    <col min="6147" max="6147" width="14.5703125" customWidth="1"/>
    <col min="6148" max="6148" width="11.85546875" customWidth="1"/>
    <col min="6149" max="6149" width="9" customWidth="1"/>
    <col min="6150" max="6150" width="10.7109375" customWidth="1"/>
    <col min="6151" max="6151" width="9.85546875" customWidth="1"/>
    <col min="6153" max="6153" width="10.42578125" customWidth="1"/>
    <col min="6157" max="6157" width="9.5703125" bestFit="1" customWidth="1"/>
    <col min="6158" max="6158" width="6" customWidth="1"/>
    <col min="6401" max="6401" width="3.140625" customWidth="1"/>
    <col min="6402" max="6402" width="11.85546875" customWidth="1"/>
    <col min="6403" max="6403" width="14.5703125" customWidth="1"/>
    <col min="6404" max="6404" width="11.85546875" customWidth="1"/>
    <col min="6405" max="6405" width="9" customWidth="1"/>
    <col min="6406" max="6406" width="10.7109375" customWidth="1"/>
    <col min="6407" max="6407" width="9.85546875" customWidth="1"/>
    <col min="6409" max="6409" width="10.42578125" customWidth="1"/>
    <col min="6413" max="6413" width="9.5703125" bestFit="1" customWidth="1"/>
    <col min="6414" max="6414" width="6" customWidth="1"/>
    <col min="6657" max="6657" width="3.140625" customWidth="1"/>
    <col min="6658" max="6658" width="11.85546875" customWidth="1"/>
    <col min="6659" max="6659" width="14.5703125" customWidth="1"/>
    <col min="6660" max="6660" width="11.85546875" customWidth="1"/>
    <col min="6661" max="6661" width="9" customWidth="1"/>
    <col min="6662" max="6662" width="10.7109375" customWidth="1"/>
    <col min="6663" max="6663" width="9.85546875" customWidth="1"/>
    <col min="6665" max="6665" width="10.42578125" customWidth="1"/>
    <col min="6669" max="6669" width="9.5703125" bestFit="1" customWidth="1"/>
    <col min="6670" max="6670" width="6" customWidth="1"/>
    <col min="6913" max="6913" width="3.140625" customWidth="1"/>
    <col min="6914" max="6914" width="11.85546875" customWidth="1"/>
    <col min="6915" max="6915" width="14.5703125" customWidth="1"/>
    <col min="6916" max="6916" width="11.85546875" customWidth="1"/>
    <col min="6917" max="6917" width="9" customWidth="1"/>
    <col min="6918" max="6918" width="10.7109375" customWidth="1"/>
    <col min="6919" max="6919" width="9.85546875" customWidth="1"/>
    <col min="6921" max="6921" width="10.42578125" customWidth="1"/>
    <col min="6925" max="6925" width="9.5703125" bestFit="1" customWidth="1"/>
    <col min="6926" max="6926" width="6" customWidth="1"/>
    <col min="7169" max="7169" width="3.140625" customWidth="1"/>
    <col min="7170" max="7170" width="11.85546875" customWidth="1"/>
    <col min="7171" max="7171" width="14.5703125" customWidth="1"/>
    <col min="7172" max="7172" width="11.85546875" customWidth="1"/>
    <col min="7173" max="7173" width="9" customWidth="1"/>
    <col min="7174" max="7174" width="10.7109375" customWidth="1"/>
    <col min="7175" max="7175" width="9.85546875" customWidth="1"/>
    <col min="7177" max="7177" width="10.42578125" customWidth="1"/>
    <col min="7181" max="7181" width="9.5703125" bestFit="1" customWidth="1"/>
    <col min="7182" max="7182" width="6" customWidth="1"/>
    <col min="7425" max="7425" width="3.140625" customWidth="1"/>
    <col min="7426" max="7426" width="11.85546875" customWidth="1"/>
    <col min="7427" max="7427" width="14.5703125" customWidth="1"/>
    <col min="7428" max="7428" width="11.85546875" customWidth="1"/>
    <col min="7429" max="7429" width="9" customWidth="1"/>
    <col min="7430" max="7430" width="10.7109375" customWidth="1"/>
    <col min="7431" max="7431" width="9.85546875" customWidth="1"/>
    <col min="7433" max="7433" width="10.42578125" customWidth="1"/>
    <col min="7437" max="7437" width="9.5703125" bestFit="1" customWidth="1"/>
    <col min="7438" max="7438" width="6" customWidth="1"/>
    <col min="7681" max="7681" width="3.140625" customWidth="1"/>
    <col min="7682" max="7682" width="11.85546875" customWidth="1"/>
    <col min="7683" max="7683" width="14.5703125" customWidth="1"/>
    <col min="7684" max="7684" width="11.85546875" customWidth="1"/>
    <col min="7685" max="7685" width="9" customWidth="1"/>
    <col min="7686" max="7686" width="10.7109375" customWidth="1"/>
    <col min="7687" max="7687" width="9.85546875" customWidth="1"/>
    <col min="7689" max="7689" width="10.42578125" customWidth="1"/>
    <col min="7693" max="7693" width="9.5703125" bestFit="1" customWidth="1"/>
    <col min="7694" max="7694" width="6" customWidth="1"/>
    <col min="7937" max="7937" width="3.140625" customWidth="1"/>
    <col min="7938" max="7938" width="11.85546875" customWidth="1"/>
    <col min="7939" max="7939" width="14.5703125" customWidth="1"/>
    <col min="7940" max="7940" width="11.85546875" customWidth="1"/>
    <col min="7941" max="7941" width="9" customWidth="1"/>
    <col min="7942" max="7942" width="10.7109375" customWidth="1"/>
    <col min="7943" max="7943" width="9.85546875" customWidth="1"/>
    <col min="7945" max="7945" width="10.42578125" customWidth="1"/>
    <col min="7949" max="7949" width="9.5703125" bestFit="1" customWidth="1"/>
    <col min="7950" max="7950" width="6" customWidth="1"/>
    <col min="8193" max="8193" width="3.140625" customWidth="1"/>
    <col min="8194" max="8194" width="11.85546875" customWidth="1"/>
    <col min="8195" max="8195" width="14.5703125" customWidth="1"/>
    <col min="8196" max="8196" width="11.85546875" customWidth="1"/>
    <col min="8197" max="8197" width="9" customWidth="1"/>
    <col min="8198" max="8198" width="10.7109375" customWidth="1"/>
    <col min="8199" max="8199" width="9.85546875" customWidth="1"/>
    <col min="8201" max="8201" width="10.42578125" customWidth="1"/>
    <col min="8205" max="8205" width="9.5703125" bestFit="1" customWidth="1"/>
    <col min="8206" max="8206" width="6" customWidth="1"/>
    <col min="8449" max="8449" width="3.140625" customWidth="1"/>
    <col min="8450" max="8450" width="11.85546875" customWidth="1"/>
    <col min="8451" max="8451" width="14.5703125" customWidth="1"/>
    <col min="8452" max="8452" width="11.85546875" customWidth="1"/>
    <col min="8453" max="8453" width="9" customWidth="1"/>
    <col min="8454" max="8454" width="10.7109375" customWidth="1"/>
    <col min="8455" max="8455" width="9.85546875" customWidth="1"/>
    <col min="8457" max="8457" width="10.42578125" customWidth="1"/>
    <col min="8461" max="8461" width="9.5703125" bestFit="1" customWidth="1"/>
    <col min="8462" max="8462" width="6" customWidth="1"/>
    <col min="8705" max="8705" width="3.140625" customWidth="1"/>
    <col min="8706" max="8706" width="11.85546875" customWidth="1"/>
    <col min="8707" max="8707" width="14.5703125" customWidth="1"/>
    <col min="8708" max="8708" width="11.85546875" customWidth="1"/>
    <col min="8709" max="8709" width="9" customWidth="1"/>
    <col min="8710" max="8710" width="10.7109375" customWidth="1"/>
    <col min="8711" max="8711" width="9.85546875" customWidth="1"/>
    <col min="8713" max="8713" width="10.42578125" customWidth="1"/>
    <col min="8717" max="8717" width="9.5703125" bestFit="1" customWidth="1"/>
    <col min="8718" max="8718" width="6" customWidth="1"/>
    <col min="8961" max="8961" width="3.140625" customWidth="1"/>
    <col min="8962" max="8962" width="11.85546875" customWidth="1"/>
    <col min="8963" max="8963" width="14.5703125" customWidth="1"/>
    <col min="8964" max="8964" width="11.85546875" customWidth="1"/>
    <col min="8965" max="8965" width="9" customWidth="1"/>
    <col min="8966" max="8966" width="10.7109375" customWidth="1"/>
    <col min="8967" max="8967" width="9.85546875" customWidth="1"/>
    <col min="8969" max="8969" width="10.42578125" customWidth="1"/>
    <col min="8973" max="8973" width="9.5703125" bestFit="1" customWidth="1"/>
    <col min="8974" max="8974" width="6" customWidth="1"/>
    <col min="9217" max="9217" width="3.140625" customWidth="1"/>
    <col min="9218" max="9218" width="11.85546875" customWidth="1"/>
    <col min="9219" max="9219" width="14.5703125" customWidth="1"/>
    <col min="9220" max="9220" width="11.85546875" customWidth="1"/>
    <col min="9221" max="9221" width="9" customWidth="1"/>
    <col min="9222" max="9222" width="10.7109375" customWidth="1"/>
    <col min="9223" max="9223" width="9.85546875" customWidth="1"/>
    <col min="9225" max="9225" width="10.42578125" customWidth="1"/>
    <col min="9229" max="9229" width="9.5703125" bestFit="1" customWidth="1"/>
    <col min="9230" max="9230" width="6" customWidth="1"/>
    <col min="9473" max="9473" width="3.140625" customWidth="1"/>
    <col min="9474" max="9474" width="11.85546875" customWidth="1"/>
    <col min="9475" max="9475" width="14.5703125" customWidth="1"/>
    <col min="9476" max="9476" width="11.85546875" customWidth="1"/>
    <col min="9477" max="9477" width="9" customWidth="1"/>
    <col min="9478" max="9478" width="10.7109375" customWidth="1"/>
    <col min="9479" max="9479" width="9.85546875" customWidth="1"/>
    <col min="9481" max="9481" width="10.42578125" customWidth="1"/>
    <col min="9485" max="9485" width="9.5703125" bestFit="1" customWidth="1"/>
    <col min="9486" max="9486" width="6" customWidth="1"/>
    <col min="9729" max="9729" width="3.140625" customWidth="1"/>
    <col min="9730" max="9730" width="11.85546875" customWidth="1"/>
    <col min="9731" max="9731" width="14.5703125" customWidth="1"/>
    <col min="9732" max="9732" width="11.85546875" customWidth="1"/>
    <col min="9733" max="9733" width="9" customWidth="1"/>
    <col min="9734" max="9734" width="10.7109375" customWidth="1"/>
    <col min="9735" max="9735" width="9.85546875" customWidth="1"/>
    <col min="9737" max="9737" width="10.42578125" customWidth="1"/>
    <col min="9741" max="9741" width="9.5703125" bestFit="1" customWidth="1"/>
    <col min="9742" max="9742" width="6" customWidth="1"/>
    <col min="9985" max="9985" width="3.140625" customWidth="1"/>
    <col min="9986" max="9986" width="11.85546875" customWidth="1"/>
    <col min="9987" max="9987" width="14.5703125" customWidth="1"/>
    <col min="9988" max="9988" width="11.85546875" customWidth="1"/>
    <col min="9989" max="9989" width="9" customWidth="1"/>
    <col min="9990" max="9990" width="10.7109375" customWidth="1"/>
    <col min="9991" max="9991" width="9.85546875" customWidth="1"/>
    <col min="9993" max="9993" width="10.42578125" customWidth="1"/>
    <col min="9997" max="9997" width="9.5703125" bestFit="1" customWidth="1"/>
    <col min="9998" max="9998" width="6" customWidth="1"/>
    <col min="10241" max="10241" width="3.140625" customWidth="1"/>
    <col min="10242" max="10242" width="11.85546875" customWidth="1"/>
    <col min="10243" max="10243" width="14.5703125" customWidth="1"/>
    <col min="10244" max="10244" width="11.85546875" customWidth="1"/>
    <col min="10245" max="10245" width="9" customWidth="1"/>
    <col min="10246" max="10246" width="10.7109375" customWidth="1"/>
    <col min="10247" max="10247" width="9.85546875" customWidth="1"/>
    <col min="10249" max="10249" width="10.42578125" customWidth="1"/>
    <col min="10253" max="10253" width="9.5703125" bestFit="1" customWidth="1"/>
    <col min="10254" max="10254" width="6" customWidth="1"/>
    <col min="10497" max="10497" width="3.140625" customWidth="1"/>
    <col min="10498" max="10498" width="11.85546875" customWidth="1"/>
    <col min="10499" max="10499" width="14.5703125" customWidth="1"/>
    <col min="10500" max="10500" width="11.85546875" customWidth="1"/>
    <col min="10501" max="10501" width="9" customWidth="1"/>
    <col min="10502" max="10502" width="10.7109375" customWidth="1"/>
    <col min="10503" max="10503" width="9.85546875" customWidth="1"/>
    <col min="10505" max="10505" width="10.42578125" customWidth="1"/>
    <col min="10509" max="10509" width="9.5703125" bestFit="1" customWidth="1"/>
    <col min="10510" max="10510" width="6" customWidth="1"/>
    <col min="10753" max="10753" width="3.140625" customWidth="1"/>
    <col min="10754" max="10754" width="11.85546875" customWidth="1"/>
    <col min="10755" max="10755" width="14.5703125" customWidth="1"/>
    <col min="10756" max="10756" width="11.85546875" customWidth="1"/>
    <col min="10757" max="10757" width="9" customWidth="1"/>
    <col min="10758" max="10758" width="10.7109375" customWidth="1"/>
    <col min="10759" max="10759" width="9.85546875" customWidth="1"/>
    <col min="10761" max="10761" width="10.42578125" customWidth="1"/>
    <col min="10765" max="10765" width="9.5703125" bestFit="1" customWidth="1"/>
    <col min="10766" max="10766" width="6" customWidth="1"/>
    <col min="11009" max="11009" width="3.140625" customWidth="1"/>
    <col min="11010" max="11010" width="11.85546875" customWidth="1"/>
    <col min="11011" max="11011" width="14.5703125" customWidth="1"/>
    <col min="11012" max="11012" width="11.85546875" customWidth="1"/>
    <col min="11013" max="11013" width="9" customWidth="1"/>
    <col min="11014" max="11014" width="10.7109375" customWidth="1"/>
    <col min="11015" max="11015" width="9.85546875" customWidth="1"/>
    <col min="11017" max="11017" width="10.42578125" customWidth="1"/>
    <col min="11021" max="11021" width="9.5703125" bestFit="1" customWidth="1"/>
    <col min="11022" max="11022" width="6" customWidth="1"/>
    <col min="11265" max="11265" width="3.140625" customWidth="1"/>
    <col min="11266" max="11266" width="11.85546875" customWidth="1"/>
    <col min="11267" max="11267" width="14.5703125" customWidth="1"/>
    <col min="11268" max="11268" width="11.85546875" customWidth="1"/>
    <col min="11269" max="11269" width="9" customWidth="1"/>
    <col min="11270" max="11270" width="10.7109375" customWidth="1"/>
    <col min="11271" max="11271" width="9.85546875" customWidth="1"/>
    <col min="11273" max="11273" width="10.42578125" customWidth="1"/>
    <col min="11277" max="11277" width="9.5703125" bestFit="1" customWidth="1"/>
    <col min="11278" max="11278" width="6" customWidth="1"/>
    <col min="11521" max="11521" width="3.140625" customWidth="1"/>
    <col min="11522" max="11522" width="11.85546875" customWidth="1"/>
    <col min="11523" max="11523" width="14.5703125" customWidth="1"/>
    <col min="11524" max="11524" width="11.85546875" customWidth="1"/>
    <col min="11525" max="11525" width="9" customWidth="1"/>
    <col min="11526" max="11526" width="10.7109375" customWidth="1"/>
    <col min="11527" max="11527" width="9.85546875" customWidth="1"/>
    <col min="11529" max="11529" width="10.42578125" customWidth="1"/>
    <col min="11533" max="11533" width="9.5703125" bestFit="1" customWidth="1"/>
    <col min="11534" max="11534" width="6" customWidth="1"/>
    <col min="11777" max="11777" width="3.140625" customWidth="1"/>
    <col min="11778" max="11778" width="11.85546875" customWidth="1"/>
    <col min="11779" max="11779" width="14.5703125" customWidth="1"/>
    <col min="11780" max="11780" width="11.85546875" customWidth="1"/>
    <col min="11781" max="11781" width="9" customWidth="1"/>
    <col min="11782" max="11782" width="10.7109375" customWidth="1"/>
    <col min="11783" max="11783" width="9.85546875" customWidth="1"/>
    <col min="11785" max="11785" width="10.42578125" customWidth="1"/>
    <col min="11789" max="11789" width="9.5703125" bestFit="1" customWidth="1"/>
    <col min="11790" max="11790" width="6" customWidth="1"/>
    <col min="12033" max="12033" width="3.140625" customWidth="1"/>
    <col min="12034" max="12034" width="11.85546875" customWidth="1"/>
    <col min="12035" max="12035" width="14.5703125" customWidth="1"/>
    <col min="12036" max="12036" width="11.85546875" customWidth="1"/>
    <col min="12037" max="12037" width="9" customWidth="1"/>
    <col min="12038" max="12038" width="10.7109375" customWidth="1"/>
    <col min="12039" max="12039" width="9.85546875" customWidth="1"/>
    <col min="12041" max="12041" width="10.42578125" customWidth="1"/>
    <col min="12045" max="12045" width="9.5703125" bestFit="1" customWidth="1"/>
    <col min="12046" max="12046" width="6" customWidth="1"/>
    <col min="12289" max="12289" width="3.140625" customWidth="1"/>
    <col min="12290" max="12290" width="11.85546875" customWidth="1"/>
    <col min="12291" max="12291" width="14.5703125" customWidth="1"/>
    <col min="12292" max="12292" width="11.85546875" customWidth="1"/>
    <col min="12293" max="12293" width="9" customWidth="1"/>
    <col min="12294" max="12294" width="10.7109375" customWidth="1"/>
    <col min="12295" max="12295" width="9.85546875" customWidth="1"/>
    <col min="12297" max="12297" width="10.42578125" customWidth="1"/>
    <col min="12301" max="12301" width="9.5703125" bestFit="1" customWidth="1"/>
    <col min="12302" max="12302" width="6" customWidth="1"/>
    <col min="12545" max="12545" width="3.140625" customWidth="1"/>
    <col min="12546" max="12546" width="11.85546875" customWidth="1"/>
    <col min="12547" max="12547" width="14.5703125" customWidth="1"/>
    <col min="12548" max="12548" width="11.85546875" customWidth="1"/>
    <col min="12549" max="12549" width="9" customWidth="1"/>
    <col min="12550" max="12550" width="10.7109375" customWidth="1"/>
    <col min="12551" max="12551" width="9.85546875" customWidth="1"/>
    <col min="12553" max="12553" width="10.42578125" customWidth="1"/>
    <col min="12557" max="12557" width="9.5703125" bestFit="1" customWidth="1"/>
    <col min="12558" max="12558" width="6" customWidth="1"/>
    <col min="12801" max="12801" width="3.140625" customWidth="1"/>
    <col min="12802" max="12802" width="11.85546875" customWidth="1"/>
    <col min="12803" max="12803" width="14.5703125" customWidth="1"/>
    <col min="12804" max="12804" width="11.85546875" customWidth="1"/>
    <col min="12805" max="12805" width="9" customWidth="1"/>
    <col min="12806" max="12806" width="10.7109375" customWidth="1"/>
    <col min="12807" max="12807" width="9.85546875" customWidth="1"/>
    <col min="12809" max="12809" width="10.42578125" customWidth="1"/>
    <col min="12813" max="12813" width="9.5703125" bestFit="1" customWidth="1"/>
    <col min="12814" max="12814" width="6" customWidth="1"/>
    <col min="13057" max="13057" width="3.140625" customWidth="1"/>
    <col min="13058" max="13058" width="11.85546875" customWidth="1"/>
    <col min="13059" max="13059" width="14.5703125" customWidth="1"/>
    <col min="13060" max="13060" width="11.85546875" customWidth="1"/>
    <col min="13061" max="13061" width="9" customWidth="1"/>
    <col min="13062" max="13062" width="10.7109375" customWidth="1"/>
    <col min="13063" max="13063" width="9.85546875" customWidth="1"/>
    <col min="13065" max="13065" width="10.42578125" customWidth="1"/>
    <col min="13069" max="13069" width="9.5703125" bestFit="1" customWidth="1"/>
    <col min="13070" max="13070" width="6" customWidth="1"/>
    <col min="13313" max="13313" width="3.140625" customWidth="1"/>
    <col min="13314" max="13314" width="11.85546875" customWidth="1"/>
    <col min="13315" max="13315" width="14.5703125" customWidth="1"/>
    <col min="13316" max="13316" width="11.85546875" customWidth="1"/>
    <col min="13317" max="13317" width="9" customWidth="1"/>
    <col min="13318" max="13318" width="10.7109375" customWidth="1"/>
    <col min="13319" max="13319" width="9.85546875" customWidth="1"/>
    <col min="13321" max="13321" width="10.42578125" customWidth="1"/>
    <col min="13325" max="13325" width="9.5703125" bestFit="1" customWidth="1"/>
    <col min="13326" max="13326" width="6" customWidth="1"/>
    <col min="13569" max="13569" width="3.140625" customWidth="1"/>
    <col min="13570" max="13570" width="11.85546875" customWidth="1"/>
    <col min="13571" max="13571" width="14.5703125" customWidth="1"/>
    <col min="13572" max="13572" width="11.85546875" customWidth="1"/>
    <col min="13573" max="13573" width="9" customWidth="1"/>
    <col min="13574" max="13574" width="10.7109375" customWidth="1"/>
    <col min="13575" max="13575" width="9.85546875" customWidth="1"/>
    <col min="13577" max="13577" width="10.42578125" customWidth="1"/>
    <col min="13581" max="13581" width="9.5703125" bestFit="1" customWidth="1"/>
    <col min="13582" max="13582" width="6" customWidth="1"/>
    <col min="13825" max="13825" width="3.140625" customWidth="1"/>
    <col min="13826" max="13826" width="11.85546875" customWidth="1"/>
    <col min="13827" max="13827" width="14.5703125" customWidth="1"/>
    <col min="13828" max="13828" width="11.85546875" customWidth="1"/>
    <col min="13829" max="13829" width="9" customWidth="1"/>
    <col min="13830" max="13830" width="10.7109375" customWidth="1"/>
    <col min="13831" max="13831" width="9.85546875" customWidth="1"/>
    <col min="13833" max="13833" width="10.42578125" customWidth="1"/>
    <col min="13837" max="13837" width="9.5703125" bestFit="1" customWidth="1"/>
    <col min="13838" max="13838" width="6" customWidth="1"/>
    <col min="14081" max="14081" width="3.140625" customWidth="1"/>
    <col min="14082" max="14082" width="11.85546875" customWidth="1"/>
    <col min="14083" max="14083" width="14.5703125" customWidth="1"/>
    <col min="14084" max="14084" width="11.85546875" customWidth="1"/>
    <col min="14085" max="14085" width="9" customWidth="1"/>
    <col min="14086" max="14086" width="10.7109375" customWidth="1"/>
    <col min="14087" max="14087" width="9.85546875" customWidth="1"/>
    <col min="14089" max="14089" width="10.42578125" customWidth="1"/>
    <col min="14093" max="14093" width="9.5703125" bestFit="1" customWidth="1"/>
    <col min="14094" max="14094" width="6" customWidth="1"/>
    <col min="14337" max="14337" width="3.140625" customWidth="1"/>
    <col min="14338" max="14338" width="11.85546875" customWidth="1"/>
    <col min="14339" max="14339" width="14.5703125" customWidth="1"/>
    <col min="14340" max="14340" width="11.85546875" customWidth="1"/>
    <col min="14341" max="14341" width="9" customWidth="1"/>
    <col min="14342" max="14342" width="10.7109375" customWidth="1"/>
    <col min="14343" max="14343" width="9.85546875" customWidth="1"/>
    <col min="14345" max="14345" width="10.42578125" customWidth="1"/>
    <col min="14349" max="14349" width="9.5703125" bestFit="1" customWidth="1"/>
    <col min="14350" max="14350" width="6" customWidth="1"/>
    <col min="14593" max="14593" width="3.140625" customWidth="1"/>
    <col min="14594" max="14594" width="11.85546875" customWidth="1"/>
    <col min="14595" max="14595" width="14.5703125" customWidth="1"/>
    <col min="14596" max="14596" width="11.85546875" customWidth="1"/>
    <col min="14597" max="14597" width="9" customWidth="1"/>
    <col min="14598" max="14598" width="10.7109375" customWidth="1"/>
    <col min="14599" max="14599" width="9.85546875" customWidth="1"/>
    <col min="14601" max="14601" width="10.42578125" customWidth="1"/>
    <col min="14605" max="14605" width="9.5703125" bestFit="1" customWidth="1"/>
    <col min="14606" max="14606" width="6" customWidth="1"/>
    <col min="14849" max="14849" width="3.140625" customWidth="1"/>
    <col min="14850" max="14850" width="11.85546875" customWidth="1"/>
    <col min="14851" max="14851" width="14.5703125" customWidth="1"/>
    <col min="14852" max="14852" width="11.85546875" customWidth="1"/>
    <col min="14853" max="14853" width="9" customWidth="1"/>
    <col min="14854" max="14854" width="10.7109375" customWidth="1"/>
    <col min="14855" max="14855" width="9.85546875" customWidth="1"/>
    <col min="14857" max="14857" width="10.42578125" customWidth="1"/>
    <col min="14861" max="14861" width="9.5703125" bestFit="1" customWidth="1"/>
    <col min="14862" max="14862" width="6" customWidth="1"/>
    <col min="15105" max="15105" width="3.140625" customWidth="1"/>
    <col min="15106" max="15106" width="11.85546875" customWidth="1"/>
    <col min="15107" max="15107" width="14.5703125" customWidth="1"/>
    <col min="15108" max="15108" width="11.85546875" customWidth="1"/>
    <col min="15109" max="15109" width="9" customWidth="1"/>
    <col min="15110" max="15110" width="10.7109375" customWidth="1"/>
    <col min="15111" max="15111" width="9.85546875" customWidth="1"/>
    <col min="15113" max="15113" width="10.42578125" customWidth="1"/>
    <col min="15117" max="15117" width="9.5703125" bestFit="1" customWidth="1"/>
    <col min="15118" max="15118" width="6" customWidth="1"/>
    <col min="15361" max="15361" width="3.140625" customWidth="1"/>
    <col min="15362" max="15362" width="11.85546875" customWidth="1"/>
    <col min="15363" max="15363" width="14.5703125" customWidth="1"/>
    <col min="15364" max="15364" width="11.85546875" customWidth="1"/>
    <col min="15365" max="15365" width="9" customWidth="1"/>
    <col min="15366" max="15366" width="10.7109375" customWidth="1"/>
    <col min="15367" max="15367" width="9.85546875" customWidth="1"/>
    <col min="15369" max="15369" width="10.42578125" customWidth="1"/>
    <col min="15373" max="15373" width="9.5703125" bestFit="1" customWidth="1"/>
    <col min="15374" max="15374" width="6" customWidth="1"/>
    <col min="15617" max="15617" width="3.140625" customWidth="1"/>
    <col min="15618" max="15618" width="11.85546875" customWidth="1"/>
    <col min="15619" max="15619" width="14.5703125" customWidth="1"/>
    <col min="15620" max="15620" width="11.85546875" customWidth="1"/>
    <col min="15621" max="15621" width="9" customWidth="1"/>
    <col min="15622" max="15622" width="10.7109375" customWidth="1"/>
    <col min="15623" max="15623" width="9.85546875" customWidth="1"/>
    <col min="15625" max="15625" width="10.42578125" customWidth="1"/>
    <col min="15629" max="15629" width="9.5703125" bestFit="1" customWidth="1"/>
    <col min="15630" max="15630" width="6" customWidth="1"/>
    <col min="15873" max="15873" width="3.140625" customWidth="1"/>
    <col min="15874" max="15874" width="11.85546875" customWidth="1"/>
    <col min="15875" max="15875" width="14.5703125" customWidth="1"/>
    <col min="15876" max="15876" width="11.85546875" customWidth="1"/>
    <col min="15877" max="15877" width="9" customWidth="1"/>
    <col min="15878" max="15878" width="10.7109375" customWidth="1"/>
    <col min="15879" max="15879" width="9.85546875" customWidth="1"/>
    <col min="15881" max="15881" width="10.42578125" customWidth="1"/>
    <col min="15885" max="15885" width="9.5703125" bestFit="1" customWidth="1"/>
    <col min="15886" max="15886" width="6" customWidth="1"/>
    <col min="16129" max="16129" width="3.140625" customWidth="1"/>
    <col min="16130" max="16130" width="11.85546875" customWidth="1"/>
    <col min="16131" max="16131" width="14.5703125" customWidth="1"/>
    <col min="16132" max="16132" width="11.85546875" customWidth="1"/>
    <col min="16133" max="16133" width="9" customWidth="1"/>
    <col min="16134" max="16134" width="10.7109375" customWidth="1"/>
    <col min="16135" max="16135" width="9.85546875" customWidth="1"/>
    <col min="16137" max="16137" width="10.42578125" customWidth="1"/>
    <col min="16141" max="16141" width="9.5703125" bestFit="1" customWidth="1"/>
    <col min="16142" max="16142" width="6" customWidth="1"/>
  </cols>
  <sheetData>
    <row r="1" spans="2:31" ht="7.5" customHeight="1" thickBot="1" x14ac:dyDescent="0.3"/>
    <row r="2" spans="2:31" ht="16.5" thickTop="1" x14ac:dyDescent="0.25">
      <c r="B2" s="1" t="s">
        <v>0</v>
      </c>
      <c r="C2" s="2"/>
      <c r="D2" s="2"/>
      <c r="E2" s="3"/>
      <c r="F2" s="4"/>
      <c r="G2" s="5"/>
      <c r="H2" s="6"/>
      <c r="I2" s="6"/>
      <c r="J2" s="6"/>
      <c r="K2" s="6"/>
      <c r="L2" s="6"/>
      <c r="M2" s="6"/>
      <c r="N2" s="6"/>
      <c r="O2" s="6"/>
      <c r="W2" s="7" t="e">
        <f>#REF!</f>
        <v>#REF!</v>
      </c>
      <c r="Z2" s="7" t="s">
        <v>1</v>
      </c>
      <c r="AB2" s="7" t="s">
        <v>2</v>
      </c>
      <c r="AE2" s="7" t="s">
        <v>3</v>
      </c>
    </row>
    <row r="3" spans="2:31" ht="16.5" thickBot="1" x14ac:dyDescent="0.3">
      <c r="B3" s="8" t="s">
        <v>4</v>
      </c>
      <c r="C3" s="9"/>
      <c r="D3" s="277"/>
      <c r="E3" s="10" t="s">
        <v>305</v>
      </c>
      <c r="W3" t="s">
        <v>5</v>
      </c>
      <c r="Z3" t="s">
        <v>6</v>
      </c>
      <c r="AB3" t="s">
        <v>7</v>
      </c>
      <c r="AE3">
        <v>0</v>
      </c>
    </row>
    <row r="4" spans="2:31" ht="16.5" thickTop="1" x14ac:dyDescent="0.25">
      <c r="B4" s="11"/>
      <c r="C4" s="12"/>
      <c r="D4" s="11"/>
      <c r="E4" s="13"/>
      <c r="Z4" t="s">
        <v>8</v>
      </c>
      <c r="AB4" t="s">
        <v>9</v>
      </c>
      <c r="AE4">
        <v>0.05</v>
      </c>
    </row>
    <row r="5" spans="2:31" ht="15.75" thickBot="1" x14ac:dyDescent="0.3">
      <c r="C5" s="14" t="s">
        <v>10</v>
      </c>
      <c r="D5" s="14"/>
      <c r="E5" s="15"/>
      <c r="F5" s="15"/>
      <c r="H5" s="16" t="s">
        <v>11</v>
      </c>
      <c r="I5" s="17"/>
      <c r="J5" s="17"/>
      <c r="K5" s="17"/>
      <c r="M5" s="18" t="s">
        <v>12</v>
      </c>
      <c r="W5" t="s">
        <v>13</v>
      </c>
      <c r="X5" s="19">
        <f>15.6/(4*12)</f>
        <v>0.32500000000000001</v>
      </c>
      <c r="AE5">
        <v>0.1</v>
      </c>
    </row>
    <row r="6" spans="2:31" ht="15.75" thickBot="1" x14ac:dyDescent="0.3">
      <c r="B6" s="7" t="s">
        <v>14</v>
      </c>
      <c r="C6" t="s">
        <v>15</v>
      </c>
      <c r="D6" s="20">
        <f>C20*C18*C19/sqft_ac</f>
        <v>1.3996370162172747</v>
      </c>
      <c r="E6" s="21">
        <f>D6*sqft_ac</f>
        <v>60968.188426424487</v>
      </c>
      <c r="F6" t="s">
        <v>16</v>
      </c>
      <c r="H6" s="22"/>
      <c r="I6" s="21" t="s">
        <v>17</v>
      </c>
      <c r="J6" s="23" t="s">
        <v>18</v>
      </c>
      <c r="K6" s="24" t="s">
        <v>8</v>
      </c>
      <c r="M6" s="25">
        <f>IF(H6="",E6,IF(K6=$Z$3,H6*sqft_ac,E6))</f>
        <v>60968.188426424487</v>
      </c>
      <c r="N6" t="s">
        <v>16</v>
      </c>
      <c r="W6" t="s">
        <v>19</v>
      </c>
      <c r="Z6" t="s">
        <v>20</v>
      </c>
      <c r="AB6" s="7" t="s">
        <v>21</v>
      </c>
      <c r="AE6">
        <v>0.15</v>
      </c>
    </row>
    <row r="7" spans="2:31" ht="15.75" thickBot="1" x14ac:dyDescent="0.3">
      <c r="B7" s="7"/>
      <c r="M7" s="26"/>
      <c r="W7" t="s">
        <v>22</v>
      </c>
      <c r="Z7" t="s">
        <v>23</v>
      </c>
      <c r="AB7">
        <v>20</v>
      </c>
      <c r="AE7">
        <v>0.2</v>
      </c>
    </row>
    <row r="8" spans="2:31" x14ac:dyDescent="0.25">
      <c r="C8" t="s">
        <v>24</v>
      </c>
      <c r="D8" s="27" t="s">
        <v>25</v>
      </c>
      <c r="E8" s="28">
        <f>12*VLOOKUP(D8,W32:X41,2,FALSE)</f>
        <v>24</v>
      </c>
      <c r="F8" s="29" t="s">
        <v>26</v>
      </c>
      <c r="G8" s="30" t="s">
        <v>27</v>
      </c>
      <c r="H8" s="31"/>
      <c r="I8" s="29" t="s">
        <v>26</v>
      </c>
      <c r="J8" s="23" t="s">
        <v>18</v>
      </c>
      <c r="K8" s="24" t="s">
        <v>8</v>
      </c>
      <c r="M8" s="25">
        <f>IF(H8="",E8,IF(K8=$Z$3,H8,E8))/12</f>
        <v>2</v>
      </c>
      <c r="N8" t="s">
        <v>28</v>
      </c>
      <c r="W8" t="s">
        <v>29</v>
      </c>
      <c r="AB8">
        <v>25</v>
      </c>
      <c r="AE8">
        <v>0.25</v>
      </c>
    </row>
    <row r="9" spans="2:31" x14ac:dyDescent="0.25">
      <c r="C9" t="s">
        <v>30</v>
      </c>
      <c r="D9" s="32" t="s">
        <v>31</v>
      </c>
      <c r="E9" s="33">
        <f>VLOOKUP(D9,X51:Y59,2,FALSE)</f>
        <v>2</v>
      </c>
      <c r="F9" s="34" t="s">
        <v>304</v>
      </c>
      <c r="G9" s="30" t="s">
        <v>27</v>
      </c>
      <c r="H9" s="35"/>
      <c r="I9" s="34" t="s">
        <v>32</v>
      </c>
      <c r="J9" s="23" t="s">
        <v>18</v>
      </c>
      <c r="K9" s="24" t="s">
        <v>8</v>
      </c>
      <c r="M9" s="25">
        <f>IF(H9="",E9,IF(K9=$Z$3,H9,E9))</f>
        <v>2</v>
      </c>
      <c r="N9" t="s">
        <v>32</v>
      </c>
      <c r="W9" t="s">
        <v>33</v>
      </c>
      <c r="Z9">
        <f>IF(I25=Z6,IF([1]Snapshot!#REF!&gt;[1]Snapshot!F29/3,99,0),0)</f>
        <v>0</v>
      </c>
      <c r="AB9">
        <v>30</v>
      </c>
      <c r="AE9">
        <v>0.3</v>
      </c>
    </row>
    <row r="10" spans="2:31" x14ac:dyDescent="0.25">
      <c r="C10" t="s">
        <v>34</v>
      </c>
      <c r="D10" s="36">
        <f>IF(H9="",E9*M8,IF(K9=Z3,H9*M8,E9*M8))</f>
        <v>4</v>
      </c>
      <c r="E10" s="37" t="s">
        <v>35</v>
      </c>
      <c r="F10" s="34"/>
      <c r="H10" s="35"/>
      <c r="I10" s="34"/>
      <c r="K10" s="38"/>
      <c r="M10" s="25"/>
      <c r="W10" t="s">
        <v>36</v>
      </c>
      <c r="AB10">
        <v>40</v>
      </c>
      <c r="AE10">
        <v>0.35</v>
      </c>
    </row>
    <row r="11" spans="2:31" x14ac:dyDescent="0.25">
      <c r="C11" t="s">
        <v>37</v>
      </c>
      <c r="D11" s="39">
        <v>20</v>
      </c>
      <c r="E11" s="37" t="s">
        <v>38</v>
      </c>
      <c r="F11" s="34"/>
      <c r="H11" s="35"/>
      <c r="I11" s="34"/>
      <c r="K11" s="38"/>
      <c r="M11" s="26"/>
      <c r="AB11">
        <v>50</v>
      </c>
      <c r="AE11">
        <v>0.4</v>
      </c>
    </row>
    <row r="12" spans="2:31" ht="15.75" thickBot="1" x14ac:dyDescent="0.3">
      <c r="C12" t="s">
        <v>39</v>
      </c>
      <c r="D12" s="36">
        <f>VLOOKUP(D8,W32:Z41,4,FALSE)</f>
        <v>50</v>
      </c>
      <c r="E12" s="37" t="s">
        <v>38</v>
      </c>
      <c r="F12" s="34"/>
      <c r="G12" s="30" t="s">
        <v>27</v>
      </c>
      <c r="H12" s="40"/>
      <c r="I12" s="41" t="s">
        <v>38</v>
      </c>
      <c r="J12" s="23" t="s">
        <v>18</v>
      </c>
      <c r="K12" s="24" t="s">
        <v>8</v>
      </c>
      <c r="M12" s="25">
        <f>IF(H12="",D12,IF(K12=$Z$3,H12,D12))</f>
        <v>50</v>
      </c>
      <c r="N12" t="s">
        <v>38</v>
      </c>
      <c r="W12" s="42" t="s">
        <v>40</v>
      </c>
      <c r="Z12" t="e">
        <f>HLOOKUP(G27,X13:AC20,AE12,FALSE)</f>
        <v>#N/A</v>
      </c>
      <c r="AB12">
        <v>60</v>
      </c>
      <c r="AE12">
        <v>0.45</v>
      </c>
    </row>
    <row r="13" spans="2:31" ht="15.75" thickBot="1" x14ac:dyDescent="0.3">
      <c r="C13" t="s">
        <v>41</v>
      </c>
      <c r="D13" s="43">
        <f>IF(H12="",D12/100*D10,IF(K12=Z3,H12/100*D10,D12/100*D10))</f>
        <v>2</v>
      </c>
      <c r="E13" s="44" t="s">
        <v>35</v>
      </c>
      <c r="F13" s="45"/>
      <c r="M13" s="69"/>
      <c r="W13" s="46" t="s">
        <v>42</v>
      </c>
      <c r="X13" s="47">
        <v>2</v>
      </c>
      <c r="Y13" s="47">
        <v>4</v>
      </c>
      <c r="Z13" s="47">
        <v>6</v>
      </c>
      <c r="AA13" s="47">
        <v>8</v>
      </c>
      <c r="AB13" s="47">
        <v>10</v>
      </c>
      <c r="AC13" s="47">
        <v>12</v>
      </c>
      <c r="AE13">
        <v>0.5</v>
      </c>
    </row>
    <row r="14" spans="2:31" ht="15.75" thickBot="1" x14ac:dyDescent="0.3">
      <c r="M14" s="69"/>
      <c r="W14" s="48">
        <v>0.75</v>
      </c>
      <c r="X14" s="49">
        <v>3</v>
      </c>
      <c r="Y14" s="50">
        <v>5</v>
      </c>
      <c r="Z14" s="50">
        <v>6</v>
      </c>
      <c r="AA14" s="50">
        <v>7</v>
      </c>
      <c r="AB14" s="50">
        <v>8</v>
      </c>
      <c r="AC14" s="51">
        <v>8.5</v>
      </c>
      <c r="AD14">
        <v>2</v>
      </c>
    </row>
    <row r="15" spans="2:31" ht="16.5" thickTop="1" thickBot="1" x14ac:dyDescent="0.3">
      <c r="B15" s="7" t="s">
        <v>49</v>
      </c>
      <c r="M15" s="69"/>
      <c r="O15" s="52" t="s">
        <v>43</v>
      </c>
      <c r="P15" s="53" t="s">
        <v>44</v>
      </c>
      <c r="Q15" s="53"/>
      <c r="R15" s="3"/>
      <c r="W15" s="54">
        <v>1</v>
      </c>
      <c r="X15" s="55">
        <v>5</v>
      </c>
      <c r="Y15" s="56">
        <v>7.5</v>
      </c>
      <c r="Z15" s="57">
        <v>9</v>
      </c>
      <c r="AA15" s="57">
        <v>11</v>
      </c>
      <c r="AB15" s="57">
        <v>12</v>
      </c>
      <c r="AC15" s="58">
        <v>13</v>
      </c>
      <c r="AD15">
        <v>3</v>
      </c>
    </row>
    <row r="16" spans="2:31" x14ac:dyDescent="0.25">
      <c r="C16" s="71">
        <v>245</v>
      </c>
      <c r="D16" s="72" t="s">
        <v>7</v>
      </c>
      <c r="E16" s="73" t="s">
        <v>51</v>
      </c>
      <c r="F16" s="74"/>
      <c r="M16" s="69"/>
      <c r="O16" s="4"/>
      <c r="P16" s="13" t="s">
        <v>45</v>
      </c>
      <c r="Q16" s="13"/>
      <c r="R16" s="59"/>
      <c r="W16" s="54">
        <v>1.25</v>
      </c>
      <c r="X16" s="55">
        <v>7</v>
      </c>
      <c r="Y16" s="57">
        <v>10</v>
      </c>
      <c r="Z16" s="57">
        <v>13</v>
      </c>
      <c r="AA16" s="57">
        <v>16</v>
      </c>
      <c r="AB16" s="57">
        <v>18</v>
      </c>
      <c r="AC16" s="58">
        <v>20</v>
      </c>
      <c r="AD16">
        <v>4</v>
      </c>
    </row>
    <row r="17" spans="2:35" x14ac:dyDescent="0.25">
      <c r="C17" s="39">
        <v>11.5</v>
      </c>
      <c r="D17" s="13" t="s">
        <v>53</v>
      </c>
      <c r="E17" s="13"/>
      <c r="F17" s="76"/>
      <c r="M17" s="69"/>
      <c r="O17" s="4"/>
      <c r="P17" s="13" t="s">
        <v>46</v>
      </c>
      <c r="Q17" s="13"/>
      <c r="R17" s="59"/>
      <c r="W17" s="54">
        <v>1.5</v>
      </c>
      <c r="X17" s="55">
        <v>11.5</v>
      </c>
      <c r="Y17" s="57">
        <v>16</v>
      </c>
      <c r="Z17" s="57">
        <v>20</v>
      </c>
      <c r="AA17" s="57">
        <v>22.5</v>
      </c>
      <c r="AB17" s="57">
        <v>25</v>
      </c>
      <c r="AC17" s="58">
        <v>27.5</v>
      </c>
      <c r="AD17">
        <v>5</v>
      </c>
    </row>
    <row r="18" spans="2:35" x14ac:dyDescent="0.25">
      <c r="C18" s="39">
        <v>40</v>
      </c>
      <c r="D18" s="13" t="s">
        <v>56</v>
      </c>
      <c r="E18" s="13"/>
      <c r="F18" s="76"/>
      <c r="G18" s="13"/>
      <c r="H18" s="13"/>
      <c r="I18" s="13"/>
      <c r="J18" s="13"/>
      <c r="K18" s="13"/>
      <c r="M18" s="69"/>
      <c r="O18" s="4"/>
      <c r="P18" s="13" t="s">
        <v>47</v>
      </c>
      <c r="Q18" s="13"/>
      <c r="R18" s="59"/>
      <c r="W18" s="54">
        <v>2</v>
      </c>
      <c r="X18" s="55">
        <v>20</v>
      </c>
      <c r="Y18" s="57">
        <v>28.5</v>
      </c>
      <c r="Z18" s="57">
        <v>24.5</v>
      </c>
      <c r="AA18" s="57">
        <v>40</v>
      </c>
      <c r="AB18" s="57">
        <v>44.5</v>
      </c>
      <c r="AC18" s="58">
        <v>48.5</v>
      </c>
      <c r="AD18">
        <v>6</v>
      </c>
    </row>
    <row r="19" spans="2:35" ht="15.75" thickBot="1" x14ac:dyDescent="0.3">
      <c r="C19" s="77">
        <f>2*(SQRT(C18^2-(C18/2)^2))</f>
        <v>69.282032302755098</v>
      </c>
      <c r="D19" s="13" t="s">
        <v>58</v>
      </c>
      <c r="E19" s="13"/>
      <c r="F19" s="76"/>
      <c r="G19" s="60"/>
      <c r="H19" s="37"/>
      <c r="I19" s="37"/>
      <c r="J19" s="61"/>
      <c r="K19" s="62"/>
      <c r="M19" s="69"/>
      <c r="O19" s="63"/>
      <c r="P19" s="64" t="s">
        <v>48</v>
      </c>
      <c r="Q19" s="65"/>
      <c r="R19" s="10"/>
      <c r="W19" s="54">
        <v>2.5</v>
      </c>
      <c r="X19" s="55">
        <v>31</v>
      </c>
      <c r="Y19" s="57">
        <v>44</v>
      </c>
      <c r="Z19" s="57">
        <v>53</v>
      </c>
      <c r="AA19" s="57">
        <v>61</v>
      </c>
      <c r="AB19" s="57">
        <v>68</v>
      </c>
      <c r="AC19" s="58">
        <v>73</v>
      </c>
      <c r="AD19">
        <v>7</v>
      </c>
    </row>
    <row r="20" spans="2:35" ht="16.5" thickTop="1" thickBot="1" x14ac:dyDescent="0.3">
      <c r="C20" s="39">
        <v>22</v>
      </c>
      <c r="D20" s="13" t="s">
        <v>59</v>
      </c>
      <c r="E20" s="13"/>
      <c r="F20" s="78"/>
      <c r="M20" s="69"/>
      <c r="W20" s="54">
        <v>3</v>
      </c>
      <c r="X20" s="66">
        <v>45</v>
      </c>
      <c r="Y20" s="67">
        <v>62</v>
      </c>
      <c r="Z20" s="67">
        <v>76</v>
      </c>
      <c r="AA20" s="67">
        <v>88</v>
      </c>
      <c r="AB20" s="67">
        <v>99</v>
      </c>
      <c r="AC20" s="68">
        <v>107</v>
      </c>
      <c r="AD20">
        <v>8</v>
      </c>
    </row>
    <row r="21" spans="2:35" ht="15.75" thickBot="1" x14ac:dyDescent="0.3">
      <c r="C21" s="81">
        <f>C18*C20</f>
        <v>880</v>
      </c>
      <c r="D21" s="44" t="s">
        <v>62</v>
      </c>
      <c r="E21" s="44"/>
      <c r="F21" s="82"/>
      <c r="M21" s="69"/>
      <c r="N21" s="69"/>
      <c r="O21" s="69"/>
      <c r="P21" s="69"/>
      <c r="W21" s="70" t="s">
        <v>50</v>
      </c>
      <c r="X21" s="70"/>
      <c r="Y21" s="70"/>
      <c r="Z21" s="70"/>
      <c r="AA21" s="70"/>
      <c r="AB21" s="70"/>
    </row>
    <row r="22" spans="2:35" ht="15.75" thickBot="1" x14ac:dyDescent="0.3">
      <c r="B22" s="7" t="s">
        <v>64</v>
      </c>
      <c r="G22" s="75"/>
      <c r="M22" s="69"/>
      <c r="W22" s="70"/>
      <c r="X22" s="70"/>
      <c r="Y22" s="70"/>
      <c r="Z22" s="70"/>
      <c r="AA22" s="70"/>
      <c r="AB22" s="70"/>
    </row>
    <row r="23" spans="2:35" ht="15.75" thickTop="1" x14ac:dyDescent="0.25">
      <c r="C23" s="85" t="s">
        <v>67</v>
      </c>
      <c r="D23" s="86">
        <f>[1]Snapshot!F33</f>
        <v>0.49670048960476831</v>
      </c>
      <c r="E23" s="87"/>
      <c r="F23" s="88"/>
      <c r="G23" s="13"/>
      <c r="M23" s="69"/>
      <c r="W23" s="70"/>
      <c r="X23" s="70"/>
      <c r="Y23" s="70"/>
      <c r="Z23" s="70"/>
      <c r="AA23" s="70"/>
      <c r="AB23" s="70"/>
    </row>
    <row r="24" spans="2:35" ht="15.75" thickBot="1" x14ac:dyDescent="0.3">
      <c r="C24" s="91" t="s">
        <v>71</v>
      </c>
      <c r="D24" s="92">
        <f>AG42/TotQ</f>
        <v>0.85855500040693156</v>
      </c>
      <c r="E24" s="37"/>
      <c r="F24" s="59"/>
      <c r="G24" s="13"/>
      <c r="M24" s="69"/>
      <c r="W24" s="70"/>
      <c r="X24" s="70"/>
      <c r="Y24" s="70"/>
      <c r="Z24" s="70"/>
      <c r="AA24" s="70"/>
      <c r="AB24" s="70"/>
    </row>
    <row r="25" spans="2:35" x14ac:dyDescent="0.25">
      <c r="C25" s="4"/>
      <c r="D25" s="13"/>
      <c r="E25" s="13"/>
      <c r="F25" s="59"/>
      <c r="G25" s="13"/>
      <c r="H25" s="89" t="s">
        <v>68</v>
      </c>
      <c r="I25" s="90" t="s">
        <v>23</v>
      </c>
      <c r="M25" s="69"/>
    </row>
    <row r="26" spans="2:35" x14ac:dyDescent="0.25">
      <c r="C26" s="4" t="s">
        <v>84</v>
      </c>
      <c r="D26" s="33">
        <f>IF(D12&lt;D11,"none",(D12-D11)/100*D10)</f>
        <v>1.2</v>
      </c>
      <c r="E26" s="13" t="s">
        <v>85</v>
      </c>
      <c r="F26" s="59"/>
      <c r="G26" s="79"/>
      <c r="H26" s="93">
        <v>15</v>
      </c>
      <c r="I26" s="94" t="s">
        <v>72</v>
      </c>
      <c r="M26" s="69"/>
      <c r="W26" s="80" t="s">
        <v>61</v>
      </c>
    </row>
    <row r="27" spans="2:35" x14ac:dyDescent="0.25">
      <c r="C27" s="4" t="s">
        <v>88</v>
      </c>
      <c r="D27" s="33">
        <f>IF(D11&lt;100,(100-D11)/100*D10,"none")</f>
        <v>3.2</v>
      </c>
      <c r="E27" s="13" t="s">
        <v>85</v>
      </c>
      <c r="F27" s="59"/>
      <c r="G27" s="79"/>
      <c r="H27" s="101" t="s">
        <v>78</v>
      </c>
      <c r="I27" s="58" t="s">
        <v>79</v>
      </c>
      <c r="M27" s="69"/>
      <c r="W27" s="83" t="s">
        <v>63</v>
      </c>
    </row>
    <row r="28" spans="2:35" ht="15.75" thickBot="1" x14ac:dyDescent="0.3">
      <c r="C28" s="4" t="s">
        <v>90</v>
      </c>
      <c r="D28" s="113">
        <f>IF(AG40&lt;D27,"no immediate excess",AG40-D27)</f>
        <v>0.61882319829829191</v>
      </c>
      <c r="E28" s="13" t="s">
        <v>85</v>
      </c>
      <c r="F28" s="59"/>
      <c r="H28" s="105">
        <f>AG39-(Qerr/100*AG39)</f>
        <v>3.7807708498757027</v>
      </c>
      <c r="I28" s="106">
        <f>AG39+(Qerr/100*AG39)</f>
        <v>5.1151605615965394</v>
      </c>
      <c r="M28" s="69"/>
      <c r="W28" s="84" t="s">
        <v>66</v>
      </c>
    </row>
    <row r="29" spans="2:35" ht="12.75" customHeight="1" thickBot="1" x14ac:dyDescent="0.3">
      <c r="C29" s="115" t="s">
        <v>93</v>
      </c>
      <c r="D29" s="116">
        <f>IF(AG40&gt;D27,D27/AG39,AG40/AG39)</f>
        <v>0.71943000726675177</v>
      </c>
      <c r="E29" s="65"/>
      <c r="F29" s="10"/>
      <c r="M29" s="69"/>
      <c r="W29" s="84"/>
    </row>
    <row r="30" spans="2:35" ht="12.75" customHeight="1" thickTop="1" x14ac:dyDescent="0.25">
      <c r="M30" s="69"/>
      <c r="W30" s="278" t="s">
        <v>24</v>
      </c>
      <c r="X30" s="97" t="s">
        <v>74</v>
      </c>
      <c r="Y30" s="97" t="s">
        <v>75</v>
      </c>
      <c r="Z30" s="98" t="s">
        <v>76</v>
      </c>
      <c r="AA30" s="99" t="s">
        <v>77</v>
      </c>
      <c r="AB30" s="100" t="str">
        <f>IF(D8=W32,"yes",IF(D8=W33,"yes","no"))</f>
        <v>yes</v>
      </c>
    </row>
    <row r="31" spans="2:35" ht="12.75" customHeight="1" thickBot="1" x14ac:dyDescent="0.3">
      <c r="M31" s="69"/>
      <c r="W31" s="279"/>
      <c r="X31" s="103" t="s">
        <v>81</v>
      </c>
      <c r="Y31" s="103" t="s">
        <v>82</v>
      </c>
      <c r="Z31" s="104" t="s">
        <v>83</v>
      </c>
      <c r="AF31" s="23" t="s">
        <v>52</v>
      </c>
      <c r="AG31" s="26">
        <f>IF(D16=AB4,TotQ*gpm_cfs,TotQ)</f>
        <v>245</v>
      </c>
      <c r="AH31" t="s">
        <v>7</v>
      </c>
    </row>
    <row r="32" spans="2:35" ht="12.75" customHeight="1" x14ac:dyDescent="0.25">
      <c r="M32" s="69"/>
      <c r="W32" s="107" t="s">
        <v>87</v>
      </c>
      <c r="X32" s="108">
        <v>4</v>
      </c>
      <c r="Y32" s="108">
        <v>0</v>
      </c>
      <c r="Z32" s="109">
        <v>55</v>
      </c>
      <c r="AF32" s="23" t="s">
        <v>54</v>
      </c>
      <c r="AG32" s="26">
        <f>TotQ*C17*60</f>
        <v>169050</v>
      </c>
      <c r="AH32" t="s">
        <v>55</v>
      </c>
      <c r="AI32">
        <f>21*AG36</f>
        <v>29.392377340562767</v>
      </c>
    </row>
    <row r="33" spans="9:34" ht="12.75" customHeight="1" x14ac:dyDescent="0.25">
      <c r="M33" s="69"/>
      <c r="W33" s="110" t="s">
        <v>25</v>
      </c>
      <c r="X33" s="111">
        <v>2</v>
      </c>
      <c r="Y33" s="111">
        <v>0</v>
      </c>
      <c r="Z33" s="112">
        <v>50</v>
      </c>
      <c r="AG33" s="26">
        <f>AG32/gal_acft</f>
        <v>0.51879478738443907</v>
      </c>
      <c r="AH33" t="s">
        <v>57</v>
      </c>
    </row>
    <row r="34" spans="9:34" ht="12.75" customHeight="1" x14ac:dyDescent="0.25">
      <c r="I34" s="114"/>
      <c r="M34" s="69"/>
      <c r="W34" s="110" t="s">
        <v>91</v>
      </c>
      <c r="X34" s="111">
        <v>3</v>
      </c>
      <c r="Y34" s="111" t="s">
        <v>92</v>
      </c>
      <c r="Z34" s="112">
        <v>55</v>
      </c>
      <c r="AG34" s="26"/>
    </row>
    <row r="35" spans="9:34" ht="12.75" customHeight="1" x14ac:dyDescent="0.25">
      <c r="M35" s="276"/>
      <c r="N35" s="69"/>
      <c r="O35" s="117"/>
      <c r="W35" s="110" t="s">
        <v>94</v>
      </c>
      <c r="X35" s="111">
        <v>2.5</v>
      </c>
      <c r="Y35" s="111" t="s">
        <v>95</v>
      </c>
      <c r="Z35" s="112">
        <v>40</v>
      </c>
      <c r="AF35" s="23" t="s">
        <v>60</v>
      </c>
      <c r="AG35" s="26">
        <f>E6</f>
        <v>60968.188426424487</v>
      </c>
      <c r="AH35" t="s">
        <v>16</v>
      </c>
    </row>
    <row r="36" spans="9:34" ht="12.75" customHeight="1" x14ac:dyDescent="0.25">
      <c r="L36" s="69"/>
      <c r="M36" s="118"/>
      <c r="N36" s="69"/>
      <c r="W36" s="110" t="s">
        <v>96</v>
      </c>
      <c r="X36" s="111">
        <v>3</v>
      </c>
      <c r="Y36" s="111" t="s">
        <v>97</v>
      </c>
      <c r="Z36" s="112">
        <v>50</v>
      </c>
      <c r="AG36" s="26">
        <f>AG35/sqft_ac</f>
        <v>1.3996370162172747</v>
      </c>
      <c r="AH36" t="s">
        <v>17</v>
      </c>
    </row>
    <row r="37" spans="9:34" x14ac:dyDescent="0.25">
      <c r="N37" s="69"/>
      <c r="W37" s="110" t="s">
        <v>98</v>
      </c>
      <c r="X37" s="111">
        <v>6</v>
      </c>
      <c r="Y37" s="111">
        <v>0</v>
      </c>
      <c r="Z37" s="112">
        <v>50</v>
      </c>
      <c r="AA37" t="s">
        <v>99</v>
      </c>
      <c r="AF37" s="23" t="s">
        <v>65</v>
      </c>
      <c r="AG37" s="26">
        <f>AG33/AG36</f>
        <v>0.37066380881134342</v>
      </c>
      <c r="AH37" t="str">
        <f>"ft per set ("&amp;C17&amp;" hrs)"</f>
        <v>ft per set (11.5 hrs)</v>
      </c>
    </row>
    <row r="38" spans="9:34" x14ac:dyDescent="0.25">
      <c r="W38" s="110" t="s">
        <v>100</v>
      </c>
      <c r="X38" s="111">
        <v>3</v>
      </c>
      <c r="Y38" s="111">
        <v>0</v>
      </c>
      <c r="Z38" s="112">
        <v>65</v>
      </c>
      <c r="AF38" s="23" t="s">
        <v>69</v>
      </c>
      <c r="AG38" s="26">
        <f>AG37/C17</f>
        <v>3.2231635548812469E-2</v>
      </c>
      <c r="AH38" t="s">
        <v>70</v>
      </c>
    </row>
    <row r="39" spans="9:34" x14ac:dyDescent="0.25">
      <c r="W39" s="119"/>
      <c r="X39" s="13"/>
      <c r="Y39" s="13"/>
      <c r="Z39" s="76"/>
      <c r="AF39" s="95" t="s">
        <v>73</v>
      </c>
      <c r="AG39" s="96">
        <f>AG37*12</f>
        <v>4.447965705736121</v>
      </c>
      <c r="AH39" t="str">
        <f>"inch per set ("&amp;C17&amp;" hrs)"</f>
        <v>inch per set (11.5 hrs)</v>
      </c>
    </row>
    <row r="40" spans="9:34" x14ac:dyDescent="0.25">
      <c r="I40" s="120"/>
      <c r="W40" s="121"/>
      <c r="X40" s="13"/>
      <c r="Y40" s="13"/>
      <c r="Z40" s="76"/>
      <c r="AF40" s="95" t="s">
        <v>80</v>
      </c>
      <c r="AG40" s="102">
        <f>[1]Snapshot!F34*[1]Field!C23</f>
        <v>3.8188231982982921</v>
      </c>
      <c r="AH40" t="str">
        <f>"inch per set ("&amp;C17&amp;" hrs)"</f>
        <v>inch per set (11.5 hrs)</v>
      </c>
    </row>
    <row r="41" spans="9:34" ht="15.75" thickBot="1" x14ac:dyDescent="0.3">
      <c r="I41" s="120"/>
      <c r="W41" s="122"/>
      <c r="X41" s="44"/>
      <c r="Y41" s="44"/>
      <c r="Z41" s="45"/>
      <c r="AG41" s="102">
        <f>AG40/12*gal_acft/C17/60</f>
        <v>150.28609036662178</v>
      </c>
      <c r="AH41" t="s">
        <v>86</v>
      </c>
    </row>
    <row r="42" spans="9:34" x14ac:dyDescent="0.25">
      <c r="I42" s="120"/>
      <c r="W42" s="123" t="s">
        <v>101</v>
      </c>
      <c r="AF42" s="95" t="s">
        <v>89</v>
      </c>
      <c r="AG42" s="96">
        <f>AG41*D6</f>
        <v>210.34597509969822</v>
      </c>
      <c r="AH42" t="s">
        <v>7</v>
      </c>
    </row>
    <row r="43" spans="9:34" x14ac:dyDescent="0.25">
      <c r="I43" s="120"/>
    </row>
    <row r="44" spans="9:34" x14ac:dyDescent="0.25">
      <c r="I44" s="120"/>
      <c r="W44" s="80" t="s">
        <v>102</v>
      </c>
    </row>
    <row r="45" spans="9:34" x14ac:dyDescent="0.25">
      <c r="I45" s="120"/>
      <c r="W45" s="83"/>
    </row>
    <row r="46" spans="9:34" x14ac:dyDescent="0.25">
      <c r="I46" s="120"/>
      <c r="W46" s="84" t="s">
        <v>103</v>
      </c>
    </row>
    <row r="47" spans="9:34" ht="12.75" customHeight="1" x14ac:dyDescent="0.25">
      <c r="I47" s="120"/>
      <c r="W47" s="124"/>
    </row>
    <row r="48" spans="9:34" ht="12.75" customHeight="1" x14ac:dyDescent="0.25">
      <c r="I48" s="120"/>
      <c r="W48" s="280" t="s">
        <v>104</v>
      </c>
      <c r="X48" s="281"/>
      <c r="Y48" s="125" t="s">
        <v>105</v>
      </c>
    </row>
    <row r="49" spans="9:25" ht="12.75" customHeight="1" x14ac:dyDescent="0.25">
      <c r="I49" s="120"/>
      <c r="W49" s="282"/>
      <c r="X49" s="283"/>
      <c r="Y49" s="126" t="s">
        <v>106</v>
      </c>
    </row>
    <row r="50" spans="9:25" ht="12.75" customHeight="1" x14ac:dyDescent="0.25">
      <c r="W50" s="125" t="s">
        <v>107</v>
      </c>
      <c r="X50" s="127" t="s">
        <v>108</v>
      </c>
      <c r="Y50" s="128" t="s">
        <v>109</v>
      </c>
    </row>
    <row r="51" spans="9:25" ht="12.75" customHeight="1" x14ac:dyDescent="0.25">
      <c r="W51" s="284" t="s">
        <v>110</v>
      </c>
      <c r="X51" s="129" t="s">
        <v>111</v>
      </c>
      <c r="Y51" s="130" t="s">
        <v>112</v>
      </c>
    </row>
    <row r="52" spans="9:25" ht="12.75" customHeight="1" x14ac:dyDescent="0.25">
      <c r="I52" s="131"/>
      <c r="W52" s="285"/>
      <c r="X52" s="129" t="s">
        <v>113</v>
      </c>
      <c r="Y52" s="130">
        <v>0.9</v>
      </c>
    </row>
    <row r="53" spans="9:25" ht="12.75" customHeight="1" x14ac:dyDescent="0.25">
      <c r="I53" s="131"/>
      <c r="W53" s="286"/>
      <c r="X53" s="129" t="s">
        <v>114</v>
      </c>
      <c r="Y53" s="130">
        <v>1.2</v>
      </c>
    </row>
    <row r="54" spans="9:25" ht="12.75" customHeight="1" x14ac:dyDescent="0.25">
      <c r="I54" s="131"/>
      <c r="W54" s="132"/>
      <c r="X54" s="129" t="s">
        <v>115</v>
      </c>
      <c r="Y54" s="130">
        <v>1.5</v>
      </c>
    </row>
    <row r="55" spans="9:25" ht="12.75" customHeight="1" x14ac:dyDescent="0.25">
      <c r="I55" s="131"/>
      <c r="W55" s="133" t="s">
        <v>116</v>
      </c>
      <c r="X55" s="129" t="s">
        <v>117</v>
      </c>
      <c r="Y55" s="130">
        <v>1.7</v>
      </c>
    </row>
    <row r="56" spans="9:25" ht="12.75" customHeight="1" x14ac:dyDescent="0.25">
      <c r="I56" s="131"/>
      <c r="W56" s="134" t="s">
        <v>118</v>
      </c>
      <c r="X56" s="129" t="s">
        <v>119</v>
      </c>
      <c r="Y56" s="130">
        <v>1.8</v>
      </c>
    </row>
    <row r="57" spans="9:25" ht="12.75" customHeight="1" x14ac:dyDescent="0.25">
      <c r="I57" s="131"/>
      <c r="W57" s="135"/>
      <c r="X57" s="129" t="s">
        <v>31</v>
      </c>
      <c r="Y57" s="130">
        <v>2</v>
      </c>
    </row>
    <row r="58" spans="9:25" ht="12.75" customHeight="1" x14ac:dyDescent="0.25">
      <c r="I58" s="131"/>
      <c r="W58" s="284" t="s">
        <v>120</v>
      </c>
      <c r="X58" s="129" t="s">
        <v>121</v>
      </c>
      <c r="Y58" s="130">
        <v>2.2000000000000002</v>
      </c>
    </row>
    <row r="59" spans="9:25" ht="12.75" customHeight="1" x14ac:dyDescent="0.25">
      <c r="W59" s="286"/>
      <c r="X59" s="129" t="s">
        <v>122</v>
      </c>
      <c r="Y59" s="130">
        <v>2.4</v>
      </c>
    </row>
    <row r="60" spans="9:25" x14ac:dyDescent="0.25">
      <c r="W60" s="83"/>
    </row>
    <row r="61" spans="9:25" x14ac:dyDescent="0.25">
      <c r="W61" s="136" t="s">
        <v>123</v>
      </c>
    </row>
  </sheetData>
  <mergeCells count="4">
    <mergeCell ref="W30:W31"/>
    <mergeCell ref="W48:X49"/>
    <mergeCell ref="W51:W53"/>
    <mergeCell ref="W58:W59"/>
  </mergeCells>
  <conditionalFormatting sqref="D23">
    <cfRule type="cellIs" dxfId="18" priority="4" stopIfTrue="1" operator="equal">
      <formula>"n/a!"</formula>
    </cfRule>
    <cfRule type="expression" dxfId="17" priority="5" stopIfTrue="1">
      <formula>$Z$9=99</formula>
    </cfRule>
  </conditionalFormatting>
  <conditionalFormatting sqref="D28">
    <cfRule type="cellIs" dxfId="16" priority="3" stopIfTrue="1" operator="greaterThan">
      <formula>0</formula>
    </cfRule>
  </conditionalFormatting>
  <conditionalFormatting sqref="C16">
    <cfRule type="expression" dxfId="15" priority="2" stopIfTrue="1">
      <formula>$G$22=$AE$4</formula>
    </cfRule>
  </conditionalFormatting>
  <conditionalFormatting sqref="G26:G27 F20:F21">
    <cfRule type="expression" dxfId="14" priority="1" stopIfTrue="1">
      <formula>$G$22=$AE$3</formula>
    </cfRule>
  </conditionalFormatting>
  <conditionalFormatting sqref="AG40">
    <cfRule type="cellIs" dxfId="13" priority="9" stopIfTrue="1" operator="lessThanOrEqual">
      <formula>$H$28</formula>
    </cfRule>
    <cfRule type="cellIs" dxfId="12" priority="10" stopIfTrue="1" operator="greaterThanOrEqual">
      <formula>$I$28</formula>
    </cfRule>
    <cfRule type="cellIs" dxfId="11" priority="11" stopIfTrue="1" operator="between">
      <formula>$H$28</formula>
      <formula>$I$28</formula>
    </cfRule>
  </conditionalFormatting>
  <dataValidations count="8">
    <dataValidation type="list" allowBlank="1" showInputMessage="1" showErrorMessage="1" sqref="I25 WVQ983069 WLU983069 WBY983069 VSC983069 VIG983069 UYK983069 UOO983069 UES983069 TUW983069 TLA983069 TBE983069 SRI983069 SHM983069 RXQ983069 RNU983069 RDY983069 QUC983069 QKG983069 QAK983069 PQO983069 PGS983069 OWW983069 ONA983069 ODE983069 NTI983069 NJM983069 MZQ983069 MPU983069 MFY983069 LWC983069 LMG983069 LCK983069 KSO983069 KIS983069 JYW983069 JPA983069 JFE983069 IVI983069 ILM983069 IBQ983069 HRU983069 HHY983069 GYC983069 GOG983069 GEK983069 FUO983069 FKS983069 FAW983069 ERA983069 EHE983069 DXI983069 DNM983069 DDQ983069 CTU983069 CJY983069 CAC983069 BQG983069 BGK983069 AWO983069 AMS983069 ACW983069 TA983069 JE983069 I983069 WVQ917533 WLU917533 WBY917533 VSC917533 VIG917533 UYK917533 UOO917533 UES917533 TUW917533 TLA917533 TBE917533 SRI917533 SHM917533 RXQ917533 RNU917533 RDY917533 QUC917533 QKG917533 QAK917533 PQO917533 PGS917533 OWW917533 ONA917533 ODE917533 NTI917533 NJM917533 MZQ917533 MPU917533 MFY917533 LWC917533 LMG917533 LCK917533 KSO917533 KIS917533 JYW917533 JPA917533 JFE917533 IVI917533 ILM917533 IBQ917533 HRU917533 HHY917533 GYC917533 GOG917533 GEK917533 FUO917533 FKS917533 FAW917533 ERA917533 EHE917533 DXI917533 DNM917533 DDQ917533 CTU917533 CJY917533 CAC917533 BQG917533 BGK917533 AWO917533 AMS917533 ACW917533 TA917533 JE917533 I917533 WVQ851997 WLU851997 WBY851997 VSC851997 VIG851997 UYK851997 UOO851997 UES851997 TUW851997 TLA851997 TBE851997 SRI851997 SHM851997 RXQ851997 RNU851997 RDY851997 QUC851997 QKG851997 QAK851997 PQO851997 PGS851997 OWW851997 ONA851997 ODE851997 NTI851997 NJM851997 MZQ851997 MPU851997 MFY851997 LWC851997 LMG851997 LCK851997 KSO851997 KIS851997 JYW851997 JPA851997 JFE851997 IVI851997 ILM851997 IBQ851997 HRU851997 HHY851997 GYC851997 GOG851997 GEK851997 FUO851997 FKS851997 FAW851997 ERA851997 EHE851997 DXI851997 DNM851997 DDQ851997 CTU851997 CJY851997 CAC851997 BQG851997 BGK851997 AWO851997 AMS851997 ACW851997 TA851997 JE851997 I851997 WVQ786461 WLU786461 WBY786461 VSC786461 VIG786461 UYK786461 UOO786461 UES786461 TUW786461 TLA786461 TBE786461 SRI786461 SHM786461 RXQ786461 RNU786461 RDY786461 QUC786461 QKG786461 QAK786461 PQO786461 PGS786461 OWW786461 ONA786461 ODE786461 NTI786461 NJM786461 MZQ786461 MPU786461 MFY786461 LWC786461 LMG786461 LCK786461 KSO786461 KIS786461 JYW786461 JPA786461 JFE786461 IVI786461 ILM786461 IBQ786461 HRU786461 HHY786461 GYC786461 GOG786461 GEK786461 FUO786461 FKS786461 FAW786461 ERA786461 EHE786461 DXI786461 DNM786461 DDQ786461 CTU786461 CJY786461 CAC786461 BQG786461 BGK786461 AWO786461 AMS786461 ACW786461 TA786461 JE786461 I786461 WVQ720925 WLU720925 WBY720925 VSC720925 VIG720925 UYK720925 UOO720925 UES720925 TUW720925 TLA720925 TBE720925 SRI720925 SHM720925 RXQ720925 RNU720925 RDY720925 QUC720925 QKG720925 QAK720925 PQO720925 PGS720925 OWW720925 ONA720925 ODE720925 NTI720925 NJM720925 MZQ720925 MPU720925 MFY720925 LWC720925 LMG720925 LCK720925 KSO720925 KIS720925 JYW720925 JPA720925 JFE720925 IVI720925 ILM720925 IBQ720925 HRU720925 HHY720925 GYC720925 GOG720925 GEK720925 FUO720925 FKS720925 FAW720925 ERA720925 EHE720925 DXI720925 DNM720925 DDQ720925 CTU720925 CJY720925 CAC720925 BQG720925 BGK720925 AWO720925 AMS720925 ACW720925 TA720925 JE720925 I720925 WVQ655389 WLU655389 WBY655389 VSC655389 VIG655389 UYK655389 UOO655389 UES655389 TUW655389 TLA655389 TBE655389 SRI655389 SHM655389 RXQ655389 RNU655389 RDY655389 QUC655389 QKG655389 QAK655389 PQO655389 PGS655389 OWW655389 ONA655389 ODE655389 NTI655389 NJM655389 MZQ655389 MPU655389 MFY655389 LWC655389 LMG655389 LCK655389 KSO655389 KIS655389 JYW655389 JPA655389 JFE655389 IVI655389 ILM655389 IBQ655389 HRU655389 HHY655389 GYC655389 GOG655389 GEK655389 FUO655389 FKS655389 FAW655389 ERA655389 EHE655389 DXI655389 DNM655389 DDQ655389 CTU655389 CJY655389 CAC655389 BQG655389 BGK655389 AWO655389 AMS655389 ACW655389 TA655389 JE655389 I655389 WVQ589853 WLU589853 WBY589853 VSC589853 VIG589853 UYK589853 UOO589853 UES589853 TUW589853 TLA589853 TBE589853 SRI589853 SHM589853 RXQ589853 RNU589853 RDY589853 QUC589853 QKG589853 QAK589853 PQO589853 PGS589853 OWW589853 ONA589853 ODE589853 NTI589853 NJM589853 MZQ589853 MPU589853 MFY589853 LWC589853 LMG589853 LCK589853 KSO589853 KIS589853 JYW589853 JPA589853 JFE589853 IVI589853 ILM589853 IBQ589853 HRU589853 HHY589853 GYC589853 GOG589853 GEK589853 FUO589853 FKS589853 FAW589853 ERA589853 EHE589853 DXI589853 DNM589853 DDQ589853 CTU589853 CJY589853 CAC589853 BQG589853 BGK589853 AWO589853 AMS589853 ACW589853 TA589853 JE589853 I589853 WVQ524317 WLU524317 WBY524317 VSC524317 VIG524317 UYK524317 UOO524317 UES524317 TUW524317 TLA524317 TBE524317 SRI524317 SHM524317 RXQ524317 RNU524317 RDY524317 QUC524317 QKG524317 QAK524317 PQO524317 PGS524317 OWW524317 ONA524317 ODE524317 NTI524317 NJM524317 MZQ524317 MPU524317 MFY524317 LWC524317 LMG524317 LCK524317 KSO524317 KIS524317 JYW524317 JPA524317 JFE524317 IVI524317 ILM524317 IBQ524317 HRU524317 HHY524317 GYC524317 GOG524317 GEK524317 FUO524317 FKS524317 FAW524317 ERA524317 EHE524317 DXI524317 DNM524317 DDQ524317 CTU524317 CJY524317 CAC524317 BQG524317 BGK524317 AWO524317 AMS524317 ACW524317 TA524317 JE524317 I524317 WVQ458781 WLU458781 WBY458781 VSC458781 VIG458781 UYK458781 UOO458781 UES458781 TUW458781 TLA458781 TBE458781 SRI458781 SHM458781 RXQ458781 RNU458781 RDY458781 QUC458781 QKG458781 QAK458781 PQO458781 PGS458781 OWW458781 ONA458781 ODE458781 NTI458781 NJM458781 MZQ458781 MPU458781 MFY458781 LWC458781 LMG458781 LCK458781 KSO458781 KIS458781 JYW458781 JPA458781 JFE458781 IVI458781 ILM458781 IBQ458781 HRU458781 HHY458781 GYC458781 GOG458781 GEK458781 FUO458781 FKS458781 FAW458781 ERA458781 EHE458781 DXI458781 DNM458781 DDQ458781 CTU458781 CJY458781 CAC458781 BQG458781 BGK458781 AWO458781 AMS458781 ACW458781 TA458781 JE458781 I458781 WVQ393245 WLU393245 WBY393245 VSC393245 VIG393245 UYK393245 UOO393245 UES393245 TUW393245 TLA393245 TBE393245 SRI393245 SHM393245 RXQ393245 RNU393245 RDY393245 QUC393245 QKG393245 QAK393245 PQO393245 PGS393245 OWW393245 ONA393245 ODE393245 NTI393245 NJM393245 MZQ393245 MPU393245 MFY393245 LWC393245 LMG393245 LCK393245 KSO393245 KIS393245 JYW393245 JPA393245 JFE393245 IVI393245 ILM393245 IBQ393245 HRU393245 HHY393245 GYC393245 GOG393245 GEK393245 FUO393245 FKS393245 FAW393245 ERA393245 EHE393245 DXI393245 DNM393245 DDQ393245 CTU393245 CJY393245 CAC393245 BQG393245 BGK393245 AWO393245 AMS393245 ACW393245 TA393245 JE393245 I393245 WVQ327709 WLU327709 WBY327709 VSC327709 VIG327709 UYK327709 UOO327709 UES327709 TUW327709 TLA327709 TBE327709 SRI327709 SHM327709 RXQ327709 RNU327709 RDY327709 QUC327709 QKG327709 QAK327709 PQO327709 PGS327709 OWW327709 ONA327709 ODE327709 NTI327709 NJM327709 MZQ327709 MPU327709 MFY327709 LWC327709 LMG327709 LCK327709 KSO327709 KIS327709 JYW327709 JPA327709 JFE327709 IVI327709 ILM327709 IBQ327709 HRU327709 HHY327709 GYC327709 GOG327709 GEK327709 FUO327709 FKS327709 FAW327709 ERA327709 EHE327709 DXI327709 DNM327709 DDQ327709 CTU327709 CJY327709 CAC327709 BQG327709 BGK327709 AWO327709 AMS327709 ACW327709 TA327709 JE327709 I327709 WVQ262173 WLU262173 WBY262173 VSC262173 VIG262173 UYK262173 UOO262173 UES262173 TUW262173 TLA262173 TBE262173 SRI262173 SHM262173 RXQ262173 RNU262173 RDY262173 QUC262173 QKG262173 QAK262173 PQO262173 PGS262173 OWW262173 ONA262173 ODE262173 NTI262173 NJM262173 MZQ262173 MPU262173 MFY262173 LWC262173 LMG262173 LCK262173 KSO262173 KIS262173 JYW262173 JPA262173 JFE262173 IVI262173 ILM262173 IBQ262173 HRU262173 HHY262173 GYC262173 GOG262173 GEK262173 FUO262173 FKS262173 FAW262173 ERA262173 EHE262173 DXI262173 DNM262173 DDQ262173 CTU262173 CJY262173 CAC262173 BQG262173 BGK262173 AWO262173 AMS262173 ACW262173 TA262173 JE262173 I262173 WVQ196637 WLU196637 WBY196637 VSC196637 VIG196637 UYK196637 UOO196637 UES196637 TUW196637 TLA196637 TBE196637 SRI196637 SHM196637 RXQ196637 RNU196637 RDY196637 QUC196637 QKG196637 QAK196637 PQO196637 PGS196637 OWW196637 ONA196637 ODE196637 NTI196637 NJM196637 MZQ196637 MPU196637 MFY196637 LWC196637 LMG196637 LCK196637 KSO196637 KIS196637 JYW196637 JPA196637 JFE196637 IVI196637 ILM196637 IBQ196637 HRU196637 HHY196637 GYC196637 GOG196637 GEK196637 FUO196637 FKS196637 FAW196637 ERA196637 EHE196637 DXI196637 DNM196637 DDQ196637 CTU196637 CJY196637 CAC196637 BQG196637 BGK196637 AWO196637 AMS196637 ACW196637 TA196637 JE196637 I196637 WVQ131101 WLU131101 WBY131101 VSC131101 VIG131101 UYK131101 UOO131101 UES131101 TUW131101 TLA131101 TBE131101 SRI131101 SHM131101 RXQ131101 RNU131101 RDY131101 QUC131101 QKG131101 QAK131101 PQO131101 PGS131101 OWW131101 ONA131101 ODE131101 NTI131101 NJM131101 MZQ131101 MPU131101 MFY131101 LWC131101 LMG131101 LCK131101 KSO131101 KIS131101 JYW131101 JPA131101 JFE131101 IVI131101 ILM131101 IBQ131101 HRU131101 HHY131101 GYC131101 GOG131101 GEK131101 FUO131101 FKS131101 FAW131101 ERA131101 EHE131101 DXI131101 DNM131101 DDQ131101 CTU131101 CJY131101 CAC131101 BQG131101 BGK131101 AWO131101 AMS131101 ACW131101 TA131101 JE131101 I131101 WVQ65565 WLU65565 WBY65565 VSC65565 VIG65565 UYK65565 UOO65565 UES65565 TUW65565 TLA65565 TBE65565 SRI65565 SHM65565 RXQ65565 RNU65565 RDY65565 QUC65565 QKG65565 QAK65565 PQO65565 PGS65565 OWW65565 ONA65565 ODE65565 NTI65565 NJM65565 MZQ65565 MPU65565 MFY65565 LWC65565 LMG65565 LCK65565 KSO65565 KIS65565 JYW65565 JPA65565 JFE65565 IVI65565 ILM65565 IBQ65565 HRU65565 HHY65565 GYC65565 GOG65565 GEK65565 FUO65565 FKS65565 FAW65565 ERA65565 EHE65565 DXI65565 DNM65565 DDQ65565 CTU65565 CJY65565 CAC65565 BQG65565 BGK65565 AWO65565 AMS65565 ACW65565 TA65565 JE65565 I65565 WVQ29 WLU29 WBY29 VSC29 VIG29 UYK29 UOO29 UES29 TUW29 TLA29 TBE29 SRI29 SHM29 RXQ29 RNU29 RDY29 QUC29 QKG29 QAK29 PQO29 PGS29 OWW29 ONA29 ODE29 NTI29 NJM29 MZQ29 MPU29 MFY29 LWC29 LMG29 LCK29 KSO29 KIS29 JYW29 JPA29 JFE29 IVI29 ILM29 IBQ29 HRU29 HHY29 GYC29 GOG29 GEK29 FUO29 FKS29 FAW29 ERA29 EHE29 DXI29 DNM29 DDQ29 CTU29 CJY29 CAC29 BQG29 BGK29 AWO29 AMS29 ACW29 TA29 JE29">
      <formula1>$Z$6:$Z$7</formula1>
    </dataValidation>
    <dataValidation type="list" allowBlank="1" showInputMessage="1" showErrorMessage="1" sqref="C18 C65554 C131090 C196626 C262162 C327698 C393234 C458770 C524306 C589842 C655378 C720914 C786450 C851986 C917522 C983058 WVK983064 WLO983064 WBS983064 VRW983064 VIA983064 UYE983064 UOI983064 UEM983064 TUQ983064 TKU983064 TAY983064 SRC983064 SHG983064 RXK983064 RNO983064 RDS983064 QTW983064 QKA983064 QAE983064 PQI983064 PGM983064 OWQ983064 OMU983064 OCY983064 NTC983064 NJG983064 MZK983064 MPO983064 MFS983064 LVW983064 LMA983064 LCE983064 KSI983064 KIM983064 JYQ983064 JOU983064 JEY983064 IVC983064 ILG983064 IBK983064 HRO983064 HHS983064 GXW983064 GOA983064 GEE983064 FUI983064 FKM983064 FAQ983064 EQU983064 EGY983064 DXC983064 DNG983064 DDK983064 CTO983064 CJS983064 BZW983064 BQA983064 BGE983064 AWI983064 AMM983064 ACQ983064 SU983064 IY983064 WVK917528 WLO917528 WBS917528 VRW917528 VIA917528 UYE917528 UOI917528 UEM917528 TUQ917528 TKU917528 TAY917528 SRC917528 SHG917528 RXK917528 RNO917528 RDS917528 QTW917528 QKA917528 QAE917528 PQI917528 PGM917528 OWQ917528 OMU917528 OCY917528 NTC917528 NJG917528 MZK917528 MPO917528 MFS917528 LVW917528 LMA917528 LCE917528 KSI917528 KIM917528 JYQ917528 JOU917528 JEY917528 IVC917528 ILG917528 IBK917528 HRO917528 HHS917528 GXW917528 GOA917528 GEE917528 FUI917528 FKM917528 FAQ917528 EQU917528 EGY917528 DXC917528 DNG917528 DDK917528 CTO917528 CJS917528 BZW917528 BQA917528 BGE917528 AWI917528 AMM917528 ACQ917528 SU917528 IY917528 WVK851992 WLO851992 WBS851992 VRW851992 VIA851992 UYE851992 UOI851992 UEM851992 TUQ851992 TKU851992 TAY851992 SRC851992 SHG851992 RXK851992 RNO851992 RDS851992 QTW851992 QKA851992 QAE851992 PQI851992 PGM851992 OWQ851992 OMU851992 OCY851992 NTC851992 NJG851992 MZK851992 MPO851992 MFS851992 LVW851992 LMA851992 LCE851992 KSI851992 KIM851992 JYQ851992 JOU851992 JEY851992 IVC851992 ILG851992 IBK851992 HRO851992 HHS851992 GXW851992 GOA851992 GEE851992 FUI851992 FKM851992 FAQ851992 EQU851992 EGY851992 DXC851992 DNG851992 DDK851992 CTO851992 CJS851992 BZW851992 BQA851992 BGE851992 AWI851992 AMM851992 ACQ851992 SU851992 IY851992 WVK786456 WLO786456 WBS786456 VRW786456 VIA786456 UYE786456 UOI786456 UEM786456 TUQ786456 TKU786456 TAY786456 SRC786456 SHG786456 RXK786456 RNO786456 RDS786456 QTW786456 QKA786456 QAE786456 PQI786456 PGM786456 OWQ786456 OMU786456 OCY786456 NTC786456 NJG786456 MZK786456 MPO786456 MFS786456 LVW786456 LMA786456 LCE786456 KSI786456 KIM786456 JYQ786456 JOU786456 JEY786456 IVC786456 ILG786456 IBK786456 HRO786456 HHS786456 GXW786456 GOA786456 GEE786456 FUI786456 FKM786456 FAQ786456 EQU786456 EGY786456 DXC786456 DNG786456 DDK786456 CTO786456 CJS786456 BZW786456 BQA786456 BGE786456 AWI786456 AMM786456 ACQ786456 SU786456 IY786456 WVK720920 WLO720920 WBS720920 VRW720920 VIA720920 UYE720920 UOI720920 UEM720920 TUQ720920 TKU720920 TAY720920 SRC720920 SHG720920 RXK720920 RNO720920 RDS720920 QTW720920 QKA720920 QAE720920 PQI720920 PGM720920 OWQ720920 OMU720920 OCY720920 NTC720920 NJG720920 MZK720920 MPO720920 MFS720920 LVW720920 LMA720920 LCE720920 KSI720920 KIM720920 JYQ720920 JOU720920 JEY720920 IVC720920 ILG720920 IBK720920 HRO720920 HHS720920 GXW720920 GOA720920 GEE720920 FUI720920 FKM720920 FAQ720920 EQU720920 EGY720920 DXC720920 DNG720920 DDK720920 CTO720920 CJS720920 BZW720920 BQA720920 BGE720920 AWI720920 AMM720920 ACQ720920 SU720920 IY720920 WVK655384 WLO655384 WBS655384 VRW655384 VIA655384 UYE655384 UOI655384 UEM655384 TUQ655384 TKU655384 TAY655384 SRC655384 SHG655384 RXK655384 RNO655384 RDS655384 QTW655384 QKA655384 QAE655384 PQI655384 PGM655384 OWQ655384 OMU655384 OCY655384 NTC655384 NJG655384 MZK655384 MPO655384 MFS655384 LVW655384 LMA655384 LCE655384 KSI655384 KIM655384 JYQ655384 JOU655384 JEY655384 IVC655384 ILG655384 IBK655384 HRO655384 HHS655384 GXW655384 GOA655384 GEE655384 FUI655384 FKM655384 FAQ655384 EQU655384 EGY655384 DXC655384 DNG655384 DDK655384 CTO655384 CJS655384 BZW655384 BQA655384 BGE655384 AWI655384 AMM655384 ACQ655384 SU655384 IY655384 WVK589848 WLO589848 WBS589848 VRW589848 VIA589848 UYE589848 UOI589848 UEM589848 TUQ589848 TKU589848 TAY589848 SRC589848 SHG589848 RXK589848 RNO589848 RDS589848 QTW589848 QKA589848 QAE589848 PQI589848 PGM589848 OWQ589848 OMU589848 OCY589848 NTC589848 NJG589848 MZK589848 MPO589848 MFS589848 LVW589848 LMA589848 LCE589848 KSI589848 KIM589848 JYQ589848 JOU589848 JEY589848 IVC589848 ILG589848 IBK589848 HRO589848 HHS589848 GXW589848 GOA589848 GEE589848 FUI589848 FKM589848 FAQ589848 EQU589848 EGY589848 DXC589848 DNG589848 DDK589848 CTO589848 CJS589848 BZW589848 BQA589848 BGE589848 AWI589848 AMM589848 ACQ589848 SU589848 IY589848 WVK524312 WLO524312 WBS524312 VRW524312 VIA524312 UYE524312 UOI524312 UEM524312 TUQ524312 TKU524312 TAY524312 SRC524312 SHG524312 RXK524312 RNO524312 RDS524312 QTW524312 QKA524312 QAE524312 PQI524312 PGM524312 OWQ524312 OMU524312 OCY524312 NTC524312 NJG524312 MZK524312 MPO524312 MFS524312 LVW524312 LMA524312 LCE524312 KSI524312 KIM524312 JYQ524312 JOU524312 JEY524312 IVC524312 ILG524312 IBK524312 HRO524312 HHS524312 GXW524312 GOA524312 GEE524312 FUI524312 FKM524312 FAQ524312 EQU524312 EGY524312 DXC524312 DNG524312 DDK524312 CTO524312 CJS524312 BZW524312 BQA524312 BGE524312 AWI524312 AMM524312 ACQ524312 SU524312 IY524312 WVK458776 WLO458776 WBS458776 VRW458776 VIA458776 UYE458776 UOI458776 UEM458776 TUQ458776 TKU458776 TAY458776 SRC458776 SHG458776 RXK458776 RNO458776 RDS458776 QTW458776 QKA458776 QAE458776 PQI458776 PGM458776 OWQ458776 OMU458776 OCY458776 NTC458776 NJG458776 MZK458776 MPO458776 MFS458776 LVW458776 LMA458776 LCE458776 KSI458776 KIM458776 JYQ458776 JOU458776 JEY458776 IVC458776 ILG458776 IBK458776 HRO458776 HHS458776 GXW458776 GOA458776 GEE458776 FUI458776 FKM458776 FAQ458776 EQU458776 EGY458776 DXC458776 DNG458776 DDK458776 CTO458776 CJS458776 BZW458776 BQA458776 BGE458776 AWI458776 AMM458776 ACQ458776 SU458776 IY458776 WVK393240 WLO393240 WBS393240 VRW393240 VIA393240 UYE393240 UOI393240 UEM393240 TUQ393240 TKU393240 TAY393240 SRC393240 SHG393240 RXK393240 RNO393240 RDS393240 QTW393240 QKA393240 QAE393240 PQI393240 PGM393240 OWQ393240 OMU393240 OCY393240 NTC393240 NJG393240 MZK393240 MPO393240 MFS393240 LVW393240 LMA393240 LCE393240 KSI393240 KIM393240 JYQ393240 JOU393240 JEY393240 IVC393240 ILG393240 IBK393240 HRO393240 HHS393240 GXW393240 GOA393240 GEE393240 FUI393240 FKM393240 FAQ393240 EQU393240 EGY393240 DXC393240 DNG393240 DDK393240 CTO393240 CJS393240 BZW393240 BQA393240 BGE393240 AWI393240 AMM393240 ACQ393240 SU393240 IY393240 WVK327704 WLO327704 WBS327704 VRW327704 VIA327704 UYE327704 UOI327704 UEM327704 TUQ327704 TKU327704 TAY327704 SRC327704 SHG327704 RXK327704 RNO327704 RDS327704 QTW327704 QKA327704 QAE327704 PQI327704 PGM327704 OWQ327704 OMU327704 OCY327704 NTC327704 NJG327704 MZK327704 MPO327704 MFS327704 LVW327704 LMA327704 LCE327704 KSI327704 KIM327704 JYQ327704 JOU327704 JEY327704 IVC327704 ILG327704 IBK327704 HRO327704 HHS327704 GXW327704 GOA327704 GEE327704 FUI327704 FKM327704 FAQ327704 EQU327704 EGY327704 DXC327704 DNG327704 DDK327704 CTO327704 CJS327704 BZW327704 BQA327704 BGE327704 AWI327704 AMM327704 ACQ327704 SU327704 IY327704 WVK262168 WLO262168 WBS262168 VRW262168 VIA262168 UYE262168 UOI262168 UEM262168 TUQ262168 TKU262168 TAY262168 SRC262168 SHG262168 RXK262168 RNO262168 RDS262168 QTW262168 QKA262168 QAE262168 PQI262168 PGM262168 OWQ262168 OMU262168 OCY262168 NTC262168 NJG262168 MZK262168 MPO262168 MFS262168 LVW262168 LMA262168 LCE262168 KSI262168 KIM262168 JYQ262168 JOU262168 JEY262168 IVC262168 ILG262168 IBK262168 HRO262168 HHS262168 GXW262168 GOA262168 GEE262168 FUI262168 FKM262168 FAQ262168 EQU262168 EGY262168 DXC262168 DNG262168 DDK262168 CTO262168 CJS262168 BZW262168 BQA262168 BGE262168 AWI262168 AMM262168 ACQ262168 SU262168 IY262168 WVK196632 WLO196632 WBS196632 VRW196632 VIA196632 UYE196632 UOI196632 UEM196632 TUQ196632 TKU196632 TAY196632 SRC196632 SHG196632 RXK196632 RNO196632 RDS196632 QTW196632 QKA196632 QAE196632 PQI196632 PGM196632 OWQ196632 OMU196632 OCY196632 NTC196632 NJG196632 MZK196632 MPO196632 MFS196632 LVW196632 LMA196632 LCE196632 KSI196632 KIM196632 JYQ196632 JOU196632 JEY196632 IVC196632 ILG196632 IBK196632 HRO196632 HHS196632 GXW196632 GOA196632 GEE196632 FUI196632 FKM196632 FAQ196632 EQU196632 EGY196632 DXC196632 DNG196632 DDK196632 CTO196632 CJS196632 BZW196632 BQA196632 BGE196632 AWI196632 AMM196632 ACQ196632 SU196632 IY196632 WVK131096 WLO131096 WBS131096 VRW131096 VIA131096 UYE131096 UOI131096 UEM131096 TUQ131096 TKU131096 TAY131096 SRC131096 SHG131096 RXK131096 RNO131096 RDS131096 QTW131096 QKA131096 QAE131096 PQI131096 PGM131096 OWQ131096 OMU131096 OCY131096 NTC131096 NJG131096 MZK131096 MPO131096 MFS131096 LVW131096 LMA131096 LCE131096 KSI131096 KIM131096 JYQ131096 JOU131096 JEY131096 IVC131096 ILG131096 IBK131096 HRO131096 HHS131096 GXW131096 GOA131096 GEE131096 FUI131096 FKM131096 FAQ131096 EQU131096 EGY131096 DXC131096 DNG131096 DDK131096 CTO131096 CJS131096 BZW131096 BQA131096 BGE131096 AWI131096 AMM131096 ACQ131096 SU131096 IY131096 WVK65560 WLO65560 WBS65560 VRW65560 VIA65560 UYE65560 UOI65560 UEM65560 TUQ65560 TKU65560 TAY65560 SRC65560 SHG65560 RXK65560 RNO65560 RDS65560 QTW65560 QKA65560 QAE65560 PQI65560 PGM65560 OWQ65560 OMU65560 OCY65560 NTC65560 NJG65560 MZK65560 MPO65560 MFS65560 LVW65560 LMA65560 LCE65560 KSI65560 KIM65560 JYQ65560 JOU65560 JEY65560 IVC65560 ILG65560 IBK65560 HRO65560 HHS65560 GXW65560 GOA65560 GEE65560 FUI65560 FKM65560 FAQ65560 EQU65560 EGY65560 DXC65560 DNG65560 DDK65560 CTO65560 CJS65560 BZW65560 BQA65560 BGE65560 AWI65560 AMM65560 ACQ65560 SU65560 IY65560 WVK24 WLO24 WBS24 VRW24 VIA24 UYE24 UOI24 UEM24 TUQ24 TKU24 TAY24 SRC24 SHG24 RXK24 RNO24 RDS24 QTW24 QKA24 QAE24 PQI24 PGM24 OWQ24 OMU24 OCY24 NTC24 NJG24 MZK24 MPO24 MFS24 LVW24 LMA24 LCE24 KSI24 KIM24 JYQ24 JOU24 JEY24 IVC24 ILG24 IBK24 HRO24 HHS24 GXW24 GOA24 GEE24 FUI24 FKM24 FAQ24 EQU24 EGY24 DXC24 DNG24 DDK24 CTO24 CJS24 BZW24 BQA24 BGE24 AWI24 AMM24 ACQ24 SU24 IY24">
      <formula1>$AB$7:$AB$12</formula1>
    </dataValidation>
    <dataValidation type="list" allowBlank="1" showInputMessage="1" showErrorMessage="1" sqref="D65539 D131075 D196611 D262147 D327683 D393219 D458755 D524291 D589827 D655363 D720899 D786435 D851971 D917507 D983043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 D9">
      <formula1>$X$51:$X$59</formula1>
    </dataValidation>
    <dataValidation type="list" allowBlank="1" showInputMessage="1" showErrorMessage="1" sqref="D65538 D131074 D196610 D262146 D327682 D393218 D458754 D524290 D589826 D655362 D720898 D786434 D851970 D917506 D983042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D8">
      <formula1>$W$32:$W$33</formula1>
    </dataValidation>
    <dataValidation type="list" allowBlank="1" showInputMessage="1" showErrorMessage="1" sqref="D65545 D131081 D196617 D262153 D327689 D393225 D458761 D524297 D589833 D655369 D720905 D786441 D851977 D917513 D983049 WVL983055 WLP983055 WBT983055 VRX983055 VIB983055 UYF983055 UOJ983055 UEN983055 TUR983055 TKV983055 TAZ983055 SRD983055 SHH983055 RXL983055 RNP983055 RDT983055 QTX983055 QKB983055 QAF983055 PQJ983055 PGN983055 OWR983055 OMV983055 OCZ983055 NTD983055 NJH983055 MZL983055 MPP983055 MFT983055 LVX983055 LMB983055 LCF983055 KSJ983055 KIN983055 JYR983055 JOV983055 JEZ983055 IVD983055 ILH983055 IBL983055 HRP983055 HHT983055 GXX983055 GOB983055 GEF983055 FUJ983055 FKN983055 FAR983055 EQV983055 EGZ983055 DXD983055 DNH983055 DDL983055 CTP983055 CJT983055 BZX983055 BQB983055 BGF983055 AWJ983055 AMN983055 ACR983055 SV983055 IZ983055 WVL917519 WLP917519 WBT917519 VRX917519 VIB917519 UYF917519 UOJ917519 UEN917519 TUR917519 TKV917519 TAZ917519 SRD917519 SHH917519 RXL917519 RNP917519 RDT917519 QTX917519 QKB917519 QAF917519 PQJ917519 PGN917519 OWR917519 OMV917519 OCZ917519 NTD917519 NJH917519 MZL917519 MPP917519 MFT917519 LVX917519 LMB917519 LCF917519 KSJ917519 KIN917519 JYR917519 JOV917519 JEZ917519 IVD917519 ILH917519 IBL917519 HRP917519 HHT917519 GXX917519 GOB917519 GEF917519 FUJ917519 FKN917519 FAR917519 EQV917519 EGZ917519 DXD917519 DNH917519 DDL917519 CTP917519 CJT917519 BZX917519 BQB917519 BGF917519 AWJ917519 AMN917519 ACR917519 SV917519 IZ917519 WVL851983 WLP851983 WBT851983 VRX851983 VIB851983 UYF851983 UOJ851983 UEN851983 TUR851983 TKV851983 TAZ851983 SRD851983 SHH851983 RXL851983 RNP851983 RDT851983 QTX851983 QKB851983 QAF851983 PQJ851983 PGN851983 OWR851983 OMV851983 OCZ851983 NTD851983 NJH851983 MZL851983 MPP851983 MFT851983 LVX851983 LMB851983 LCF851983 KSJ851983 KIN851983 JYR851983 JOV851983 JEZ851983 IVD851983 ILH851983 IBL851983 HRP851983 HHT851983 GXX851983 GOB851983 GEF851983 FUJ851983 FKN851983 FAR851983 EQV851983 EGZ851983 DXD851983 DNH851983 DDL851983 CTP851983 CJT851983 BZX851983 BQB851983 BGF851983 AWJ851983 AMN851983 ACR851983 SV851983 IZ851983 WVL786447 WLP786447 WBT786447 VRX786447 VIB786447 UYF786447 UOJ786447 UEN786447 TUR786447 TKV786447 TAZ786447 SRD786447 SHH786447 RXL786447 RNP786447 RDT786447 QTX786447 QKB786447 QAF786447 PQJ786447 PGN786447 OWR786447 OMV786447 OCZ786447 NTD786447 NJH786447 MZL786447 MPP786447 MFT786447 LVX786447 LMB786447 LCF786447 KSJ786447 KIN786447 JYR786447 JOV786447 JEZ786447 IVD786447 ILH786447 IBL786447 HRP786447 HHT786447 GXX786447 GOB786447 GEF786447 FUJ786447 FKN786447 FAR786447 EQV786447 EGZ786447 DXD786447 DNH786447 DDL786447 CTP786447 CJT786447 BZX786447 BQB786447 BGF786447 AWJ786447 AMN786447 ACR786447 SV786447 IZ786447 WVL720911 WLP720911 WBT720911 VRX720911 VIB720911 UYF720911 UOJ720911 UEN720911 TUR720911 TKV720911 TAZ720911 SRD720911 SHH720911 RXL720911 RNP720911 RDT720911 QTX720911 QKB720911 QAF720911 PQJ720911 PGN720911 OWR720911 OMV720911 OCZ720911 NTD720911 NJH720911 MZL720911 MPP720911 MFT720911 LVX720911 LMB720911 LCF720911 KSJ720911 KIN720911 JYR720911 JOV720911 JEZ720911 IVD720911 ILH720911 IBL720911 HRP720911 HHT720911 GXX720911 GOB720911 GEF720911 FUJ720911 FKN720911 FAR720911 EQV720911 EGZ720911 DXD720911 DNH720911 DDL720911 CTP720911 CJT720911 BZX720911 BQB720911 BGF720911 AWJ720911 AMN720911 ACR720911 SV720911 IZ720911 WVL655375 WLP655375 WBT655375 VRX655375 VIB655375 UYF655375 UOJ655375 UEN655375 TUR655375 TKV655375 TAZ655375 SRD655375 SHH655375 RXL655375 RNP655375 RDT655375 QTX655375 QKB655375 QAF655375 PQJ655375 PGN655375 OWR655375 OMV655375 OCZ655375 NTD655375 NJH655375 MZL655375 MPP655375 MFT655375 LVX655375 LMB655375 LCF655375 KSJ655375 KIN655375 JYR655375 JOV655375 JEZ655375 IVD655375 ILH655375 IBL655375 HRP655375 HHT655375 GXX655375 GOB655375 GEF655375 FUJ655375 FKN655375 FAR655375 EQV655375 EGZ655375 DXD655375 DNH655375 DDL655375 CTP655375 CJT655375 BZX655375 BQB655375 BGF655375 AWJ655375 AMN655375 ACR655375 SV655375 IZ655375 WVL589839 WLP589839 WBT589839 VRX589839 VIB589839 UYF589839 UOJ589839 UEN589839 TUR589839 TKV589839 TAZ589839 SRD589839 SHH589839 RXL589839 RNP589839 RDT589839 QTX589839 QKB589839 QAF589839 PQJ589839 PGN589839 OWR589839 OMV589839 OCZ589839 NTD589839 NJH589839 MZL589839 MPP589839 MFT589839 LVX589839 LMB589839 LCF589839 KSJ589839 KIN589839 JYR589839 JOV589839 JEZ589839 IVD589839 ILH589839 IBL589839 HRP589839 HHT589839 GXX589839 GOB589839 GEF589839 FUJ589839 FKN589839 FAR589839 EQV589839 EGZ589839 DXD589839 DNH589839 DDL589839 CTP589839 CJT589839 BZX589839 BQB589839 BGF589839 AWJ589839 AMN589839 ACR589839 SV589839 IZ589839 WVL524303 WLP524303 WBT524303 VRX524303 VIB524303 UYF524303 UOJ524303 UEN524303 TUR524303 TKV524303 TAZ524303 SRD524303 SHH524303 RXL524303 RNP524303 RDT524303 QTX524303 QKB524303 QAF524303 PQJ524303 PGN524303 OWR524303 OMV524303 OCZ524303 NTD524303 NJH524303 MZL524303 MPP524303 MFT524303 LVX524303 LMB524303 LCF524303 KSJ524303 KIN524303 JYR524303 JOV524303 JEZ524303 IVD524303 ILH524303 IBL524303 HRP524303 HHT524303 GXX524303 GOB524303 GEF524303 FUJ524303 FKN524303 FAR524303 EQV524303 EGZ524303 DXD524303 DNH524303 DDL524303 CTP524303 CJT524303 BZX524303 BQB524303 BGF524303 AWJ524303 AMN524303 ACR524303 SV524303 IZ524303 WVL458767 WLP458767 WBT458767 VRX458767 VIB458767 UYF458767 UOJ458767 UEN458767 TUR458767 TKV458767 TAZ458767 SRD458767 SHH458767 RXL458767 RNP458767 RDT458767 QTX458767 QKB458767 QAF458767 PQJ458767 PGN458767 OWR458767 OMV458767 OCZ458767 NTD458767 NJH458767 MZL458767 MPP458767 MFT458767 LVX458767 LMB458767 LCF458767 KSJ458767 KIN458767 JYR458767 JOV458767 JEZ458767 IVD458767 ILH458767 IBL458767 HRP458767 HHT458767 GXX458767 GOB458767 GEF458767 FUJ458767 FKN458767 FAR458767 EQV458767 EGZ458767 DXD458767 DNH458767 DDL458767 CTP458767 CJT458767 BZX458767 BQB458767 BGF458767 AWJ458767 AMN458767 ACR458767 SV458767 IZ458767 WVL393231 WLP393231 WBT393231 VRX393231 VIB393231 UYF393231 UOJ393231 UEN393231 TUR393231 TKV393231 TAZ393231 SRD393231 SHH393231 RXL393231 RNP393231 RDT393231 QTX393231 QKB393231 QAF393231 PQJ393231 PGN393231 OWR393231 OMV393231 OCZ393231 NTD393231 NJH393231 MZL393231 MPP393231 MFT393231 LVX393231 LMB393231 LCF393231 KSJ393231 KIN393231 JYR393231 JOV393231 JEZ393231 IVD393231 ILH393231 IBL393231 HRP393231 HHT393231 GXX393231 GOB393231 GEF393231 FUJ393231 FKN393231 FAR393231 EQV393231 EGZ393231 DXD393231 DNH393231 DDL393231 CTP393231 CJT393231 BZX393231 BQB393231 BGF393231 AWJ393231 AMN393231 ACR393231 SV393231 IZ393231 WVL327695 WLP327695 WBT327695 VRX327695 VIB327695 UYF327695 UOJ327695 UEN327695 TUR327695 TKV327695 TAZ327695 SRD327695 SHH327695 RXL327695 RNP327695 RDT327695 QTX327695 QKB327695 QAF327695 PQJ327695 PGN327695 OWR327695 OMV327695 OCZ327695 NTD327695 NJH327695 MZL327695 MPP327695 MFT327695 LVX327695 LMB327695 LCF327695 KSJ327695 KIN327695 JYR327695 JOV327695 JEZ327695 IVD327695 ILH327695 IBL327695 HRP327695 HHT327695 GXX327695 GOB327695 GEF327695 FUJ327695 FKN327695 FAR327695 EQV327695 EGZ327695 DXD327695 DNH327695 DDL327695 CTP327695 CJT327695 BZX327695 BQB327695 BGF327695 AWJ327695 AMN327695 ACR327695 SV327695 IZ327695 WVL262159 WLP262159 WBT262159 VRX262159 VIB262159 UYF262159 UOJ262159 UEN262159 TUR262159 TKV262159 TAZ262159 SRD262159 SHH262159 RXL262159 RNP262159 RDT262159 QTX262159 QKB262159 QAF262159 PQJ262159 PGN262159 OWR262159 OMV262159 OCZ262159 NTD262159 NJH262159 MZL262159 MPP262159 MFT262159 LVX262159 LMB262159 LCF262159 KSJ262159 KIN262159 JYR262159 JOV262159 JEZ262159 IVD262159 ILH262159 IBL262159 HRP262159 HHT262159 GXX262159 GOB262159 GEF262159 FUJ262159 FKN262159 FAR262159 EQV262159 EGZ262159 DXD262159 DNH262159 DDL262159 CTP262159 CJT262159 BZX262159 BQB262159 BGF262159 AWJ262159 AMN262159 ACR262159 SV262159 IZ262159 WVL196623 WLP196623 WBT196623 VRX196623 VIB196623 UYF196623 UOJ196623 UEN196623 TUR196623 TKV196623 TAZ196623 SRD196623 SHH196623 RXL196623 RNP196623 RDT196623 QTX196623 QKB196623 QAF196623 PQJ196623 PGN196623 OWR196623 OMV196623 OCZ196623 NTD196623 NJH196623 MZL196623 MPP196623 MFT196623 LVX196623 LMB196623 LCF196623 KSJ196623 KIN196623 JYR196623 JOV196623 JEZ196623 IVD196623 ILH196623 IBL196623 HRP196623 HHT196623 GXX196623 GOB196623 GEF196623 FUJ196623 FKN196623 FAR196623 EQV196623 EGZ196623 DXD196623 DNH196623 DDL196623 CTP196623 CJT196623 BZX196623 BQB196623 BGF196623 AWJ196623 AMN196623 ACR196623 SV196623 IZ196623 WVL131087 WLP131087 WBT131087 VRX131087 VIB131087 UYF131087 UOJ131087 UEN131087 TUR131087 TKV131087 TAZ131087 SRD131087 SHH131087 RXL131087 RNP131087 RDT131087 QTX131087 QKB131087 QAF131087 PQJ131087 PGN131087 OWR131087 OMV131087 OCZ131087 NTD131087 NJH131087 MZL131087 MPP131087 MFT131087 LVX131087 LMB131087 LCF131087 KSJ131087 KIN131087 JYR131087 JOV131087 JEZ131087 IVD131087 ILH131087 IBL131087 HRP131087 HHT131087 GXX131087 GOB131087 GEF131087 FUJ131087 FKN131087 FAR131087 EQV131087 EGZ131087 DXD131087 DNH131087 DDL131087 CTP131087 CJT131087 BZX131087 BQB131087 BGF131087 AWJ131087 AMN131087 ACR131087 SV131087 IZ131087 WVL65551 WLP65551 WBT65551 VRX65551 VIB65551 UYF65551 UOJ65551 UEN65551 TUR65551 TKV65551 TAZ65551 SRD65551 SHH65551 RXL65551 RNP65551 RDT65551 QTX65551 QKB65551 QAF65551 PQJ65551 PGN65551 OWR65551 OMV65551 OCZ65551 NTD65551 NJH65551 MZL65551 MPP65551 MFT65551 LVX65551 LMB65551 LCF65551 KSJ65551 KIN65551 JYR65551 JOV65551 JEZ65551 IVD65551 ILH65551 IBL65551 HRP65551 HHT65551 GXX65551 GOB65551 GEF65551 FUJ65551 FKN65551 FAR65551 EQV65551 EGZ65551 DXD65551 DNH65551 DDL65551 CTP65551 CJT65551 BZX65551 BQB65551 BGF65551 AWJ65551 AMN65551 ACR65551 SV65551 IZ65551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formula1>$W$3:$W$22</formula1>
    </dataValidation>
    <dataValidation type="list" allowBlank="1" showInputMessage="1" showErrorMessage="1" sqref="D16 D65552 D131088 D196624 D262160 D327696 D393232 D458768 D524304 D589840 D655376 D720912 D786448 D851984 D917520 D983056 WVL983062 WLP983062 WBT983062 VRX983062 VIB983062 UYF983062 UOJ983062 UEN983062 TUR983062 TKV983062 TAZ983062 SRD983062 SHH983062 RXL983062 RNP983062 RDT983062 QTX983062 QKB983062 QAF983062 PQJ983062 PGN983062 OWR983062 OMV983062 OCZ983062 NTD983062 NJH983062 MZL983062 MPP983062 MFT983062 LVX983062 LMB983062 LCF983062 KSJ983062 KIN983062 JYR983062 JOV983062 JEZ983062 IVD983062 ILH983062 IBL983062 HRP983062 HHT983062 GXX983062 GOB983062 GEF983062 FUJ983062 FKN983062 FAR983062 EQV983062 EGZ983062 DXD983062 DNH983062 DDL983062 CTP983062 CJT983062 BZX983062 BQB983062 BGF983062 AWJ983062 AMN983062 ACR983062 SV983062 IZ983062 WVL917526 WLP917526 WBT917526 VRX917526 VIB917526 UYF917526 UOJ917526 UEN917526 TUR917526 TKV917526 TAZ917526 SRD917526 SHH917526 RXL917526 RNP917526 RDT917526 QTX917526 QKB917526 QAF917526 PQJ917526 PGN917526 OWR917526 OMV917526 OCZ917526 NTD917526 NJH917526 MZL917526 MPP917526 MFT917526 LVX917526 LMB917526 LCF917526 KSJ917526 KIN917526 JYR917526 JOV917526 JEZ917526 IVD917526 ILH917526 IBL917526 HRP917526 HHT917526 GXX917526 GOB917526 GEF917526 FUJ917526 FKN917526 FAR917526 EQV917526 EGZ917526 DXD917526 DNH917526 DDL917526 CTP917526 CJT917526 BZX917526 BQB917526 BGF917526 AWJ917526 AMN917526 ACR917526 SV917526 IZ917526 WVL851990 WLP851990 WBT851990 VRX851990 VIB851990 UYF851990 UOJ851990 UEN851990 TUR851990 TKV851990 TAZ851990 SRD851990 SHH851990 RXL851990 RNP851990 RDT851990 QTX851990 QKB851990 QAF851990 PQJ851990 PGN851990 OWR851990 OMV851990 OCZ851990 NTD851990 NJH851990 MZL851990 MPP851990 MFT851990 LVX851990 LMB851990 LCF851990 KSJ851990 KIN851990 JYR851990 JOV851990 JEZ851990 IVD851990 ILH851990 IBL851990 HRP851990 HHT851990 GXX851990 GOB851990 GEF851990 FUJ851990 FKN851990 FAR851990 EQV851990 EGZ851990 DXD851990 DNH851990 DDL851990 CTP851990 CJT851990 BZX851990 BQB851990 BGF851990 AWJ851990 AMN851990 ACR851990 SV851990 IZ851990 WVL786454 WLP786454 WBT786454 VRX786454 VIB786454 UYF786454 UOJ786454 UEN786454 TUR786454 TKV786454 TAZ786454 SRD786454 SHH786454 RXL786454 RNP786454 RDT786454 QTX786454 QKB786454 QAF786454 PQJ786454 PGN786454 OWR786454 OMV786454 OCZ786454 NTD786454 NJH786454 MZL786454 MPP786454 MFT786454 LVX786454 LMB786454 LCF786454 KSJ786454 KIN786454 JYR786454 JOV786454 JEZ786454 IVD786454 ILH786454 IBL786454 HRP786454 HHT786454 GXX786454 GOB786454 GEF786454 FUJ786454 FKN786454 FAR786454 EQV786454 EGZ786454 DXD786454 DNH786454 DDL786454 CTP786454 CJT786454 BZX786454 BQB786454 BGF786454 AWJ786454 AMN786454 ACR786454 SV786454 IZ786454 WVL720918 WLP720918 WBT720918 VRX720918 VIB720918 UYF720918 UOJ720918 UEN720918 TUR720918 TKV720918 TAZ720918 SRD720918 SHH720918 RXL720918 RNP720918 RDT720918 QTX720918 QKB720918 QAF720918 PQJ720918 PGN720918 OWR720918 OMV720918 OCZ720918 NTD720918 NJH720918 MZL720918 MPP720918 MFT720918 LVX720918 LMB720918 LCF720918 KSJ720918 KIN720918 JYR720918 JOV720918 JEZ720918 IVD720918 ILH720918 IBL720918 HRP720918 HHT720918 GXX720918 GOB720918 GEF720918 FUJ720918 FKN720918 FAR720918 EQV720918 EGZ720918 DXD720918 DNH720918 DDL720918 CTP720918 CJT720918 BZX720918 BQB720918 BGF720918 AWJ720918 AMN720918 ACR720918 SV720918 IZ720918 WVL655382 WLP655382 WBT655382 VRX655382 VIB655382 UYF655382 UOJ655382 UEN655382 TUR655382 TKV655382 TAZ655382 SRD655382 SHH655382 RXL655382 RNP655382 RDT655382 QTX655382 QKB655382 QAF655382 PQJ655382 PGN655382 OWR655382 OMV655382 OCZ655382 NTD655382 NJH655382 MZL655382 MPP655382 MFT655382 LVX655382 LMB655382 LCF655382 KSJ655382 KIN655382 JYR655382 JOV655382 JEZ655382 IVD655382 ILH655382 IBL655382 HRP655382 HHT655382 GXX655382 GOB655382 GEF655382 FUJ655382 FKN655382 FAR655382 EQV655382 EGZ655382 DXD655382 DNH655382 DDL655382 CTP655382 CJT655382 BZX655382 BQB655382 BGF655382 AWJ655382 AMN655382 ACR655382 SV655382 IZ655382 WVL589846 WLP589846 WBT589846 VRX589846 VIB589846 UYF589846 UOJ589846 UEN589846 TUR589846 TKV589846 TAZ589846 SRD589846 SHH589846 RXL589846 RNP589846 RDT589846 QTX589846 QKB589846 QAF589846 PQJ589846 PGN589846 OWR589846 OMV589846 OCZ589846 NTD589846 NJH589846 MZL589846 MPP589846 MFT589846 LVX589846 LMB589846 LCF589846 KSJ589846 KIN589846 JYR589846 JOV589846 JEZ589846 IVD589846 ILH589846 IBL589846 HRP589846 HHT589846 GXX589846 GOB589846 GEF589846 FUJ589846 FKN589846 FAR589846 EQV589846 EGZ589846 DXD589846 DNH589846 DDL589846 CTP589846 CJT589846 BZX589846 BQB589846 BGF589846 AWJ589846 AMN589846 ACR589846 SV589846 IZ589846 WVL524310 WLP524310 WBT524310 VRX524310 VIB524310 UYF524310 UOJ524310 UEN524310 TUR524310 TKV524310 TAZ524310 SRD524310 SHH524310 RXL524310 RNP524310 RDT524310 QTX524310 QKB524310 QAF524310 PQJ524310 PGN524310 OWR524310 OMV524310 OCZ524310 NTD524310 NJH524310 MZL524310 MPP524310 MFT524310 LVX524310 LMB524310 LCF524310 KSJ524310 KIN524310 JYR524310 JOV524310 JEZ524310 IVD524310 ILH524310 IBL524310 HRP524310 HHT524310 GXX524310 GOB524310 GEF524310 FUJ524310 FKN524310 FAR524310 EQV524310 EGZ524310 DXD524310 DNH524310 DDL524310 CTP524310 CJT524310 BZX524310 BQB524310 BGF524310 AWJ524310 AMN524310 ACR524310 SV524310 IZ524310 WVL458774 WLP458774 WBT458774 VRX458774 VIB458774 UYF458774 UOJ458774 UEN458774 TUR458774 TKV458774 TAZ458774 SRD458774 SHH458774 RXL458774 RNP458774 RDT458774 QTX458774 QKB458774 QAF458774 PQJ458774 PGN458774 OWR458774 OMV458774 OCZ458774 NTD458774 NJH458774 MZL458774 MPP458774 MFT458774 LVX458774 LMB458774 LCF458774 KSJ458774 KIN458774 JYR458774 JOV458774 JEZ458774 IVD458774 ILH458774 IBL458774 HRP458774 HHT458774 GXX458774 GOB458774 GEF458774 FUJ458774 FKN458774 FAR458774 EQV458774 EGZ458774 DXD458774 DNH458774 DDL458774 CTP458774 CJT458774 BZX458774 BQB458774 BGF458774 AWJ458774 AMN458774 ACR458774 SV458774 IZ458774 WVL393238 WLP393238 WBT393238 VRX393238 VIB393238 UYF393238 UOJ393238 UEN393238 TUR393238 TKV393238 TAZ393238 SRD393238 SHH393238 RXL393238 RNP393238 RDT393238 QTX393238 QKB393238 QAF393238 PQJ393238 PGN393238 OWR393238 OMV393238 OCZ393238 NTD393238 NJH393238 MZL393238 MPP393238 MFT393238 LVX393238 LMB393238 LCF393238 KSJ393238 KIN393238 JYR393238 JOV393238 JEZ393238 IVD393238 ILH393238 IBL393238 HRP393238 HHT393238 GXX393238 GOB393238 GEF393238 FUJ393238 FKN393238 FAR393238 EQV393238 EGZ393238 DXD393238 DNH393238 DDL393238 CTP393238 CJT393238 BZX393238 BQB393238 BGF393238 AWJ393238 AMN393238 ACR393238 SV393238 IZ393238 WVL327702 WLP327702 WBT327702 VRX327702 VIB327702 UYF327702 UOJ327702 UEN327702 TUR327702 TKV327702 TAZ327702 SRD327702 SHH327702 RXL327702 RNP327702 RDT327702 QTX327702 QKB327702 QAF327702 PQJ327702 PGN327702 OWR327702 OMV327702 OCZ327702 NTD327702 NJH327702 MZL327702 MPP327702 MFT327702 LVX327702 LMB327702 LCF327702 KSJ327702 KIN327702 JYR327702 JOV327702 JEZ327702 IVD327702 ILH327702 IBL327702 HRP327702 HHT327702 GXX327702 GOB327702 GEF327702 FUJ327702 FKN327702 FAR327702 EQV327702 EGZ327702 DXD327702 DNH327702 DDL327702 CTP327702 CJT327702 BZX327702 BQB327702 BGF327702 AWJ327702 AMN327702 ACR327702 SV327702 IZ327702 WVL262166 WLP262166 WBT262166 VRX262166 VIB262166 UYF262166 UOJ262166 UEN262166 TUR262166 TKV262166 TAZ262166 SRD262166 SHH262166 RXL262166 RNP262166 RDT262166 QTX262166 QKB262166 QAF262166 PQJ262166 PGN262166 OWR262166 OMV262166 OCZ262166 NTD262166 NJH262166 MZL262166 MPP262166 MFT262166 LVX262166 LMB262166 LCF262166 KSJ262166 KIN262166 JYR262166 JOV262166 JEZ262166 IVD262166 ILH262166 IBL262166 HRP262166 HHT262166 GXX262166 GOB262166 GEF262166 FUJ262166 FKN262166 FAR262166 EQV262166 EGZ262166 DXD262166 DNH262166 DDL262166 CTP262166 CJT262166 BZX262166 BQB262166 BGF262166 AWJ262166 AMN262166 ACR262166 SV262166 IZ262166 WVL196630 WLP196630 WBT196630 VRX196630 VIB196630 UYF196630 UOJ196630 UEN196630 TUR196630 TKV196630 TAZ196630 SRD196630 SHH196630 RXL196630 RNP196630 RDT196630 QTX196630 QKB196630 QAF196630 PQJ196630 PGN196630 OWR196630 OMV196630 OCZ196630 NTD196630 NJH196630 MZL196630 MPP196630 MFT196630 LVX196630 LMB196630 LCF196630 KSJ196630 KIN196630 JYR196630 JOV196630 JEZ196630 IVD196630 ILH196630 IBL196630 HRP196630 HHT196630 GXX196630 GOB196630 GEF196630 FUJ196630 FKN196630 FAR196630 EQV196630 EGZ196630 DXD196630 DNH196630 DDL196630 CTP196630 CJT196630 BZX196630 BQB196630 BGF196630 AWJ196630 AMN196630 ACR196630 SV196630 IZ196630 WVL131094 WLP131094 WBT131094 VRX131094 VIB131094 UYF131094 UOJ131094 UEN131094 TUR131094 TKV131094 TAZ131094 SRD131094 SHH131094 RXL131094 RNP131094 RDT131094 QTX131094 QKB131094 QAF131094 PQJ131094 PGN131094 OWR131094 OMV131094 OCZ131094 NTD131094 NJH131094 MZL131094 MPP131094 MFT131094 LVX131094 LMB131094 LCF131094 KSJ131094 KIN131094 JYR131094 JOV131094 JEZ131094 IVD131094 ILH131094 IBL131094 HRP131094 HHT131094 GXX131094 GOB131094 GEF131094 FUJ131094 FKN131094 FAR131094 EQV131094 EGZ131094 DXD131094 DNH131094 DDL131094 CTP131094 CJT131094 BZX131094 BQB131094 BGF131094 AWJ131094 AMN131094 ACR131094 SV131094 IZ131094 WVL65558 WLP65558 WBT65558 VRX65558 VIB65558 UYF65558 UOJ65558 UEN65558 TUR65558 TKV65558 TAZ65558 SRD65558 SHH65558 RXL65558 RNP65558 RDT65558 QTX65558 QKB65558 QAF65558 PQJ65558 PGN65558 OWR65558 OMV65558 OCZ65558 NTD65558 NJH65558 MZL65558 MPP65558 MFT65558 LVX65558 LMB65558 LCF65558 KSJ65558 KIN65558 JYR65558 JOV65558 JEZ65558 IVD65558 ILH65558 IBL65558 HRP65558 HHT65558 GXX65558 GOB65558 GEF65558 FUJ65558 FKN65558 FAR65558 EQV65558 EGZ65558 DXD65558 DNH65558 DDL65558 CTP65558 CJT65558 BZX65558 BQB65558 BGF65558 AWJ65558 AMN65558 ACR65558 SV65558 IZ65558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formula1>$AB$3:$AB$4</formula1>
    </dataValidation>
    <dataValidation type="list" allowBlank="1" showInputMessage="1" showErrorMessage="1" sqref="G22 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G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G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G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G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G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G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G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G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G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G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G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G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G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G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G65558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formula1>$AE$3:$AE$13</formula1>
    </dataValidation>
    <dataValidation type="list" allowBlank="1" showInputMessage="1" showErrorMessage="1" sqref="K8:K9 WVS983046 WLW983046 WCA983046 VSE983046 VII983046 UYM983046 UOQ983046 UEU983046 TUY983046 TLC983046 TBG983046 SRK983046 SHO983046 RXS983046 RNW983046 REA983046 QUE983046 QKI983046 QAM983046 PQQ983046 PGU983046 OWY983046 ONC983046 ODG983046 NTK983046 NJO983046 MZS983046 MPW983046 MGA983046 LWE983046 LMI983046 LCM983046 KSQ983046 KIU983046 JYY983046 JPC983046 JFG983046 IVK983046 ILO983046 IBS983046 HRW983046 HIA983046 GYE983046 GOI983046 GEM983046 FUQ983046 FKU983046 FAY983046 ERC983046 EHG983046 DXK983046 DNO983046 DDS983046 CTW983046 CKA983046 CAE983046 BQI983046 BGM983046 AWQ983046 AMU983046 ACY983046 TC983046 JG983046 K983046 WVS917510 WLW917510 WCA917510 VSE917510 VII917510 UYM917510 UOQ917510 UEU917510 TUY917510 TLC917510 TBG917510 SRK917510 SHO917510 RXS917510 RNW917510 REA917510 QUE917510 QKI917510 QAM917510 PQQ917510 PGU917510 OWY917510 ONC917510 ODG917510 NTK917510 NJO917510 MZS917510 MPW917510 MGA917510 LWE917510 LMI917510 LCM917510 KSQ917510 KIU917510 JYY917510 JPC917510 JFG917510 IVK917510 ILO917510 IBS917510 HRW917510 HIA917510 GYE917510 GOI917510 GEM917510 FUQ917510 FKU917510 FAY917510 ERC917510 EHG917510 DXK917510 DNO917510 DDS917510 CTW917510 CKA917510 CAE917510 BQI917510 BGM917510 AWQ917510 AMU917510 ACY917510 TC917510 JG917510 K917510 WVS851974 WLW851974 WCA851974 VSE851974 VII851974 UYM851974 UOQ851974 UEU851974 TUY851974 TLC851974 TBG851974 SRK851974 SHO851974 RXS851974 RNW851974 REA851974 QUE851974 QKI851974 QAM851974 PQQ851974 PGU851974 OWY851974 ONC851974 ODG851974 NTK851974 NJO851974 MZS851974 MPW851974 MGA851974 LWE851974 LMI851974 LCM851974 KSQ851974 KIU851974 JYY851974 JPC851974 JFG851974 IVK851974 ILO851974 IBS851974 HRW851974 HIA851974 GYE851974 GOI851974 GEM851974 FUQ851974 FKU851974 FAY851974 ERC851974 EHG851974 DXK851974 DNO851974 DDS851974 CTW851974 CKA851974 CAE851974 BQI851974 BGM851974 AWQ851974 AMU851974 ACY851974 TC851974 JG851974 K851974 WVS786438 WLW786438 WCA786438 VSE786438 VII786438 UYM786438 UOQ786438 UEU786438 TUY786438 TLC786438 TBG786438 SRK786438 SHO786438 RXS786438 RNW786438 REA786438 QUE786438 QKI786438 QAM786438 PQQ786438 PGU786438 OWY786438 ONC786438 ODG786438 NTK786438 NJO786438 MZS786438 MPW786438 MGA786438 LWE786438 LMI786438 LCM786438 KSQ786438 KIU786438 JYY786438 JPC786438 JFG786438 IVK786438 ILO786438 IBS786438 HRW786438 HIA786438 GYE786438 GOI786438 GEM786438 FUQ786438 FKU786438 FAY786438 ERC786438 EHG786438 DXK786438 DNO786438 DDS786438 CTW786438 CKA786438 CAE786438 BQI786438 BGM786438 AWQ786438 AMU786438 ACY786438 TC786438 JG786438 K786438 WVS720902 WLW720902 WCA720902 VSE720902 VII720902 UYM720902 UOQ720902 UEU720902 TUY720902 TLC720902 TBG720902 SRK720902 SHO720902 RXS720902 RNW720902 REA720902 QUE720902 QKI720902 QAM720902 PQQ720902 PGU720902 OWY720902 ONC720902 ODG720902 NTK720902 NJO720902 MZS720902 MPW720902 MGA720902 LWE720902 LMI720902 LCM720902 KSQ720902 KIU720902 JYY720902 JPC720902 JFG720902 IVK720902 ILO720902 IBS720902 HRW720902 HIA720902 GYE720902 GOI720902 GEM720902 FUQ720902 FKU720902 FAY720902 ERC720902 EHG720902 DXK720902 DNO720902 DDS720902 CTW720902 CKA720902 CAE720902 BQI720902 BGM720902 AWQ720902 AMU720902 ACY720902 TC720902 JG720902 K720902 WVS655366 WLW655366 WCA655366 VSE655366 VII655366 UYM655366 UOQ655366 UEU655366 TUY655366 TLC655366 TBG655366 SRK655366 SHO655366 RXS655366 RNW655366 REA655366 QUE655366 QKI655366 QAM655366 PQQ655366 PGU655366 OWY655366 ONC655366 ODG655366 NTK655366 NJO655366 MZS655366 MPW655366 MGA655366 LWE655366 LMI655366 LCM655366 KSQ655366 KIU655366 JYY655366 JPC655366 JFG655366 IVK655366 ILO655366 IBS655366 HRW655366 HIA655366 GYE655366 GOI655366 GEM655366 FUQ655366 FKU655366 FAY655366 ERC655366 EHG655366 DXK655366 DNO655366 DDS655366 CTW655366 CKA655366 CAE655366 BQI655366 BGM655366 AWQ655366 AMU655366 ACY655366 TC655366 JG655366 K655366 WVS589830 WLW589830 WCA589830 VSE589830 VII589830 UYM589830 UOQ589830 UEU589830 TUY589830 TLC589830 TBG589830 SRK589830 SHO589830 RXS589830 RNW589830 REA589830 QUE589830 QKI589830 QAM589830 PQQ589830 PGU589830 OWY589830 ONC589830 ODG589830 NTK589830 NJO589830 MZS589830 MPW589830 MGA589830 LWE589830 LMI589830 LCM589830 KSQ589830 KIU589830 JYY589830 JPC589830 JFG589830 IVK589830 ILO589830 IBS589830 HRW589830 HIA589830 GYE589830 GOI589830 GEM589830 FUQ589830 FKU589830 FAY589830 ERC589830 EHG589830 DXK589830 DNO589830 DDS589830 CTW589830 CKA589830 CAE589830 BQI589830 BGM589830 AWQ589830 AMU589830 ACY589830 TC589830 JG589830 K589830 WVS524294 WLW524294 WCA524294 VSE524294 VII524294 UYM524294 UOQ524294 UEU524294 TUY524294 TLC524294 TBG524294 SRK524294 SHO524294 RXS524294 RNW524294 REA524294 QUE524294 QKI524294 QAM524294 PQQ524294 PGU524294 OWY524294 ONC524294 ODG524294 NTK524294 NJO524294 MZS524294 MPW524294 MGA524294 LWE524294 LMI524294 LCM524294 KSQ524294 KIU524294 JYY524294 JPC524294 JFG524294 IVK524294 ILO524294 IBS524294 HRW524294 HIA524294 GYE524294 GOI524294 GEM524294 FUQ524294 FKU524294 FAY524294 ERC524294 EHG524294 DXK524294 DNO524294 DDS524294 CTW524294 CKA524294 CAE524294 BQI524294 BGM524294 AWQ524294 AMU524294 ACY524294 TC524294 JG524294 K524294 WVS458758 WLW458758 WCA458758 VSE458758 VII458758 UYM458758 UOQ458758 UEU458758 TUY458758 TLC458758 TBG458758 SRK458758 SHO458758 RXS458758 RNW458758 REA458758 QUE458758 QKI458758 QAM458758 PQQ458758 PGU458758 OWY458758 ONC458758 ODG458758 NTK458758 NJO458758 MZS458758 MPW458758 MGA458758 LWE458758 LMI458758 LCM458758 KSQ458758 KIU458758 JYY458758 JPC458758 JFG458758 IVK458758 ILO458758 IBS458758 HRW458758 HIA458758 GYE458758 GOI458758 GEM458758 FUQ458758 FKU458758 FAY458758 ERC458758 EHG458758 DXK458758 DNO458758 DDS458758 CTW458758 CKA458758 CAE458758 BQI458758 BGM458758 AWQ458758 AMU458758 ACY458758 TC458758 JG458758 K458758 WVS393222 WLW393222 WCA393222 VSE393222 VII393222 UYM393222 UOQ393222 UEU393222 TUY393222 TLC393222 TBG393222 SRK393222 SHO393222 RXS393222 RNW393222 REA393222 QUE393222 QKI393222 QAM393222 PQQ393222 PGU393222 OWY393222 ONC393222 ODG393222 NTK393222 NJO393222 MZS393222 MPW393222 MGA393222 LWE393222 LMI393222 LCM393222 KSQ393222 KIU393222 JYY393222 JPC393222 JFG393222 IVK393222 ILO393222 IBS393222 HRW393222 HIA393222 GYE393222 GOI393222 GEM393222 FUQ393222 FKU393222 FAY393222 ERC393222 EHG393222 DXK393222 DNO393222 DDS393222 CTW393222 CKA393222 CAE393222 BQI393222 BGM393222 AWQ393222 AMU393222 ACY393222 TC393222 JG393222 K393222 WVS327686 WLW327686 WCA327686 VSE327686 VII327686 UYM327686 UOQ327686 UEU327686 TUY327686 TLC327686 TBG327686 SRK327686 SHO327686 RXS327686 RNW327686 REA327686 QUE327686 QKI327686 QAM327686 PQQ327686 PGU327686 OWY327686 ONC327686 ODG327686 NTK327686 NJO327686 MZS327686 MPW327686 MGA327686 LWE327686 LMI327686 LCM327686 KSQ327686 KIU327686 JYY327686 JPC327686 JFG327686 IVK327686 ILO327686 IBS327686 HRW327686 HIA327686 GYE327686 GOI327686 GEM327686 FUQ327686 FKU327686 FAY327686 ERC327686 EHG327686 DXK327686 DNO327686 DDS327686 CTW327686 CKA327686 CAE327686 BQI327686 BGM327686 AWQ327686 AMU327686 ACY327686 TC327686 JG327686 K327686 WVS262150 WLW262150 WCA262150 VSE262150 VII262150 UYM262150 UOQ262150 UEU262150 TUY262150 TLC262150 TBG262150 SRK262150 SHO262150 RXS262150 RNW262150 REA262150 QUE262150 QKI262150 QAM262150 PQQ262150 PGU262150 OWY262150 ONC262150 ODG262150 NTK262150 NJO262150 MZS262150 MPW262150 MGA262150 LWE262150 LMI262150 LCM262150 KSQ262150 KIU262150 JYY262150 JPC262150 JFG262150 IVK262150 ILO262150 IBS262150 HRW262150 HIA262150 GYE262150 GOI262150 GEM262150 FUQ262150 FKU262150 FAY262150 ERC262150 EHG262150 DXK262150 DNO262150 DDS262150 CTW262150 CKA262150 CAE262150 BQI262150 BGM262150 AWQ262150 AMU262150 ACY262150 TC262150 JG262150 K262150 WVS196614 WLW196614 WCA196614 VSE196614 VII196614 UYM196614 UOQ196614 UEU196614 TUY196614 TLC196614 TBG196614 SRK196614 SHO196614 RXS196614 RNW196614 REA196614 QUE196614 QKI196614 QAM196614 PQQ196614 PGU196614 OWY196614 ONC196614 ODG196614 NTK196614 NJO196614 MZS196614 MPW196614 MGA196614 LWE196614 LMI196614 LCM196614 KSQ196614 KIU196614 JYY196614 JPC196614 JFG196614 IVK196614 ILO196614 IBS196614 HRW196614 HIA196614 GYE196614 GOI196614 GEM196614 FUQ196614 FKU196614 FAY196614 ERC196614 EHG196614 DXK196614 DNO196614 DDS196614 CTW196614 CKA196614 CAE196614 BQI196614 BGM196614 AWQ196614 AMU196614 ACY196614 TC196614 JG196614 K196614 WVS131078 WLW131078 WCA131078 VSE131078 VII131078 UYM131078 UOQ131078 UEU131078 TUY131078 TLC131078 TBG131078 SRK131078 SHO131078 RXS131078 RNW131078 REA131078 QUE131078 QKI131078 QAM131078 PQQ131078 PGU131078 OWY131078 ONC131078 ODG131078 NTK131078 NJO131078 MZS131078 MPW131078 MGA131078 LWE131078 LMI131078 LCM131078 KSQ131078 KIU131078 JYY131078 JPC131078 JFG131078 IVK131078 ILO131078 IBS131078 HRW131078 HIA131078 GYE131078 GOI131078 GEM131078 FUQ131078 FKU131078 FAY131078 ERC131078 EHG131078 DXK131078 DNO131078 DDS131078 CTW131078 CKA131078 CAE131078 BQI131078 BGM131078 AWQ131078 AMU131078 ACY131078 TC131078 JG131078 K131078 WVS65542 WLW65542 WCA65542 VSE65542 VII65542 UYM65542 UOQ65542 UEU65542 TUY65542 TLC65542 TBG65542 SRK65542 SHO65542 RXS65542 RNW65542 REA65542 QUE65542 QKI65542 QAM65542 PQQ65542 PGU65542 OWY65542 ONC65542 ODG65542 NTK65542 NJO65542 MZS65542 MPW65542 MGA65542 LWE65542 LMI65542 LCM65542 KSQ65542 KIU65542 JYY65542 JPC65542 JFG65542 IVK65542 ILO65542 IBS65542 HRW65542 HIA65542 GYE65542 GOI65542 GEM65542 FUQ65542 FKU65542 FAY65542 ERC65542 EHG65542 DXK65542 DNO65542 DDS65542 CTW65542 CKA65542 CAE65542 BQI65542 BGM65542 AWQ65542 AMU65542 ACY65542 TC65542 JG65542 K65542 WVS6 WLW6 WCA6 VSE6 VII6 UYM6 UOQ6 UEU6 TUY6 TLC6 TBG6 SRK6 SHO6 RXS6 RNW6 REA6 QUE6 QKI6 QAM6 PQQ6 PGU6 OWY6 ONC6 ODG6 NTK6 NJO6 MZS6 MPW6 MGA6 LWE6 LMI6 LCM6 KSQ6 KIU6 JYY6 JPC6 JFG6 IVK6 ILO6 IBS6 HRW6 HIA6 GYE6 GOI6 GEM6 FUQ6 FKU6 FAY6 ERC6 EHG6 DXK6 DNO6 DDS6 CTW6 CKA6 CAE6 BQI6 BGM6 AWQ6 AMU6 ACY6 TC6 JG6 K6 WVS983052 WLW983052 WCA983052 VSE983052 VII983052 UYM983052 UOQ983052 UEU983052 TUY983052 TLC983052 TBG983052 SRK983052 SHO983052 RXS983052 RNW983052 REA983052 QUE983052 QKI983052 QAM983052 PQQ983052 PGU983052 OWY983052 ONC983052 ODG983052 NTK983052 NJO983052 MZS983052 MPW983052 MGA983052 LWE983052 LMI983052 LCM983052 KSQ983052 KIU983052 JYY983052 JPC983052 JFG983052 IVK983052 ILO983052 IBS983052 HRW983052 HIA983052 GYE983052 GOI983052 GEM983052 FUQ983052 FKU983052 FAY983052 ERC983052 EHG983052 DXK983052 DNO983052 DDS983052 CTW983052 CKA983052 CAE983052 BQI983052 BGM983052 AWQ983052 AMU983052 ACY983052 TC983052 JG983052 K983052 WVS917516 WLW917516 WCA917516 VSE917516 VII917516 UYM917516 UOQ917516 UEU917516 TUY917516 TLC917516 TBG917516 SRK917516 SHO917516 RXS917516 RNW917516 REA917516 QUE917516 QKI917516 QAM917516 PQQ917516 PGU917516 OWY917516 ONC917516 ODG917516 NTK917516 NJO917516 MZS917516 MPW917516 MGA917516 LWE917516 LMI917516 LCM917516 KSQ917516 KIU917516 JYY917516 JPC917516 JFG917516 IVK917516 ILO917516 IBS917516 HRW917516 HIA917516 GYE917516 GOI917516 GEM917516 FUQ917516 FKU917516 FAY917516 ERC917516 EHG917516 DXK917516 DNO917516 DDS917516 CTW917516 CKA917516 CAE917516 BQI917516 BGM917516 AWQ917516 AMU917516 ACY917516 TC917516 JG917516 K917516 WVS851980 WLW851980 WCA851980 VSE851980 VII851980 UYM851980 UOQ851980 UEU851980 TUY851980 TLC851980 TBG851980 SRK851980 SHO851980 RXS851980 RNW851980 REA851980 QUE851980 QKI851980 QAM851980 PQQ851980 PGU851980 OWY851980 ONC851980 ODG851980 NTK851980 NJO851980 MZS851980 MPW851980 MGA851980 LWE851980 LMI851980 LCM851980 KSQ851980 KIU851980 JYY851980 JPC851980 JFG851980 IVK851980 ILO851980 IBS851980 HRW851980 HIA851980 GYE851980 GOI851980 GEM851980 FUQ851980 FKU851980 FAY851980 ERC851980 EHG851980 DXK851980 DNO851980 DDS851980 CTW851980 CKA851980 CAE851980 BQI851980 BGM851980 AWQ851980 AMU851980 ACY851980 TC851980 JG851980 K851980 WVS786444 WLW786444 WCA786444 VSE786444 VII786444 UYM786444 UOQ786444 UEU786444 TUY786444 TLC786444 TBG786444 SRK786444 SHO786444 RXS786444 RNW786444 REA786444 QUE786444 QKI786444 QAM786444 PQQ786444 PGU786444 OWY786444 ONC786444 ODG786444 NTK786444 NJO786444 MZS786444 MPW786444 MGA786444 LWE786444 LMI786444 LCM786444 KSQ786444 KIU786444 JYY786444 JPC786444 JFG786444 IVK786444 ILO786444 IBS786444 HRW786444 HIA786444 GYE786444 GOI786444 GEM786444 FUQ786444 FKU786444 FAY786444 ERC786444 EHG786444 DXK786444 DNO786444 DDS786444 CTW786444 CKA786444 CAE786444 BQI786444 BGM786444 AWQ786444 AMU786444 ACY786444 TC786444 JG786444 K786444 WVS720908 WLW720908 WCA720908 VSE720908 VII720908 UYM720908 UOQ720908 UEU720908 TUY720908 TLC720908 TBG720908 SRK720908 SHO720908 RXS720908 RNW720908 REA720908 QUE720908 QKI720908 QAM720908 PQQ720908 PGU720908 OWY720908 ONC720908 ODG720908 NTK720908 NJO720908 MZS720908 MPW720908 MGA720908 LWE720908 LMI720908 LCM720908 KSQ720908 KIU720908 JYY720908 JPC720908 JFG720908 IVK720908 ILO720908 IBS720908 HRW720908 HIA720908 GYE720908 GOI720908 GEM720908 FUQ720908 FKU720908 FAY720908 ERC720908 EHG720908 DXK720908 DNO720908 DDS720908 CTW720908 CKA720908 CAE720908 BQI720908 BGM720908 AWQ720908 AMU720908 ACY720908 TC720908 JG720908 K720908 WVS655372 WLW655372 WCA655372 VSE655372 VII655372 UYM655372 UOQ655372 UEU655372 TUY655372 TLC655372 TBG655372 SRK655372 SHO655372 RXS655372 RNW655372 REA655372 QUE655372 QKI655372 QAM655372 PQQ655372 PGU655372 OWY655372 ONC655372 ODG655372 NTK655372 NJO655372 MZS655372 MPW655372 MGA655372 LWE655372 LMI655372 LCM655372 KSQ655372 KIU655372 JYY655372 JPC655372 JFG655372 IVK655372 ILO655372 IBS655372 HRW655372 HIA655372 GYE655372 GOI655372 GEM655372 FUQ655372 FKU655372 FAY655372 ERC655372 EHG655372 DXK655372 DNO655372 DDS655372 CTW655372 CKA655372 CAE655372 BQI655372 BGM655372 AWQ655372 AMU655372 ACY655372 TC655372 JG655372 K655372 WVS589836 WLW589836 WCA589836 VSE589836 VII589836 UYM589836 UOQ589836 UEU589836 TUY589836 TLC589836 TBG589836 SRK589836 SHO589836 RXS589836 RNW589836 REA589836 QUE589836 QKI589836 QAM589836 PQQ589836 PGU589836 OWY589836 ONC589836 ODG589836 NTK589836 NJO589836 MZS589836 MPW589836 MGA589836 LWE589836 LMI589836 LCM589836 KSQ589836 KIU589836 JYY589836 JPC589836 JFG589836 IVK589836 ILO589836 IBS589836 HRW589836 HIA589836 GYE589836 GOI589836 GEM589836 FUQ589836 FKU589836 FAY589836 ERC589836 EHG589836 DXK589836 DNO589836 DDS589836 CTW589836 CKA589836 CAE589836 BQI589836 BGM589836 AWQ589836 AMU589836 ACY589836 TC589836 JG589836 K589836 WVS524300 WLW524300 WCA524300 VSE524300 VII524300 UYM524300 UOQ524300 UEU524300 TUY524300 TLC524300 TBG524300 SRK524300 SHO524300 RXS524300 RNW524300 REA524300 QUE524300 QKI524300 QAM524300 PQQ524300 PGU524300 OWY524300 ONC524300 ODG524300 NTK524300 NJO524300 MZS524300 MPW524300 MGA524300 LWE524300 LMI524300 LCM524300 KSQ524300 KIU524300 JYY524300 JPC524300 JFG524300 IVK524300 ILO524300 IBS524300 HRW524300 HIA524300 GYE524300 GOI524300 GEM524300 FUQ524300 FKU524300 FAY524300 ERC524300 EHG524300 DXK524300 DNO524300 DDS524300 CTW524300 CKA524300 CAE524300 BQI524300 BGM524300 AWQ524300 AMU524300 ACY524300 TC524300 JG524300 K524300 WVS458764 WLW458764 WCA458764 VSE458764 VII458764 UYM458764 UOQ458764 UEU458764 TUY458764 TLC458764 TBG458764 SRK458764 SHO458764 RXS458764 RNW458764 REA458764 QUE458764 QKI458764 QAM458764 PQQ458764 PGU458764 OWY458764 ONC458764 ODG458764 NTK458764 NJO458764 MZS458764 MPW458764 MGA458764 LWE458764 LMI458764 LCM458764 KSQ458764 KIU458764 JYY458764 JPC458764 JFG458764 IVK458764 ILO458764 IBS458764 HRW458764 HIA458764 GYE458764 GOI458764 GEM458764 FUQ458764 FKU458764 FAY458764 ERC458764 EHG458764 DXK458764 DNO458764 DDS458764 CTW458764 CKA458764 CAE458764 BQI458764 BGM458764 AWQ458764 AMU458764 ACY458764 TC458764 JG458764 K458764 WVS393228 WLW393228 WCA393228 VSE393228 VII393228 UYM393228 UOQ393228 UEU393228 TUY393228 TLC393228 TBG393228 SRK393228 SHO393228 RXS393228 RNW393228 REA393228 QUE393228 QKI393228 QAM393228 PQQ393228 PGU393228 OWY393228 ONC393228 ODG393228 NTK393228 NJO393228 MZS393228 MPW393228 MGA393228 LWE393228 LMI393228 LCM393228 KSQ393228 KIU393228 JYY393228 JPC393228 JFG393228 IVK393228 ILO393228 IBS393228 HRW393228 HIA393228 GYE393228 GOI393228 GEM393228 FUQ393228 FKU393228 FAY393228 ERC393228 EHG393228 DXK393228 DNO393228 DDS393228 CTW393228 CKA393228 CAE393228 BQI393228 BGM393228 AWQ393228 AMU393228 ACY393228 TC393228 JG393228 K393228 WVS327692 WLW327692 WCA327692 VSE327692 VII327692 UYM327692 UOQ327692 UEU327692 TUY327692 TLC327692 TBG327692 SRK327692 SHO327692 RXS327692 RNW327692 REA327692 QUE327692 QKI327692 QAM327692 PQQ327692 PGU327692 OWY327692 ONC327692 ODG327692 NTK327692 NJO327692 MZS327692 MPW327692 MGA327692 LWE327692 LMI327692 LCM327692 KSQ327692 KIU327692 JYY327692 JPC327692 JFG327692 IVK327692 ILO327692 IBS327692 HRW327692 HIA327692 GYE327692 GOI327692 GEM327692 FUQ327692 FKU327692 FAY327692 ERC327692 EHG327692 DXK327692 DNO327692 DDS327692 CTW327692 CKA327692 CAE327692 BQI327692 BGM327692 AWQ327692 AMU327692 ACY327692 TC327692 JG327692 K327692 WVS262156 WLW262156 WCA262156 VSE262156 VII262156 UYM262156 UOQ262156 UEU262156 TUY262156 TLC262156 TBG262156 SRK262156 SHO262156 RXS262156 RNW262156 REA262156 QUE262156 QKI262156 QAM262156 PQQ262156 PGU262156 OWY262156 ONC262156 ODG262156 NTK262156 NJO262156 MZS262156 MPW262156 MGA262156 LWE262156 LMI262156 LCM262156 KSQ262156 KIU262156 JYY262156 JPC262156 JFG262156 IVK262156 ILO262156 IBS262156 HRW262156 HIA262156 GYE262156 GOI262156 GEM262156 FUQ262156 FKU262156 FAY262156 ERC262156 EHG262156 DXK262156 DNO262156 DDS262156 CTW262156 CKA262156 CAE262156 BQI262156 BGM262156 AWQ262156 AMU262156 ACY262156 TC262156 JG262156 K262156 WVS196620 WLW196620 WCA196620 VSE196620 VII196620 UYM196620 UOQ196620 UEU196620 TUY196620 TLC196620 TBG196620 SRK196620 SHO196620 RXS196620 RNW196620 REA196620 QUE196620 QKI196620 QAM196620 PQQ196620 PGU196620 OWY196620 ONC196620 ODG196620 NTK196620 NJO196620 MZS196620 MPW196620 MGA196620 LWE196620 LMI196620 LCM196620 KSQ196620 KIU196620 JYY196620 JPC196620 JFG196620 IVK196620 ILO196620 IBS196620 HRW196620 HIA196620 GYE196620 GOI196620 GEM196620 FUQ196620 FKU196620 FAY196620 ERC196620 EHG196620 DXK196620 DNO196620 DDS196620 CTW196620 CKA196620 CAE196620 BQI196620 BGM196620 AWQ196620 AMU196620 ACY196620 TC196620 JG196620 K196620 WVS131084 WLW131084 WCA131084 VSE131084 VII131084 UYM131084 UOQ131084 UEU131084 TUY131084 TLC131084 TBG131084 SRK131084 SHO131084 RXS131084 RNW131084 REA131084 QUE131084 QKI131084 QAM131084 PQQ131084 PGU131084 OWY131084 ONC131084 ODG131084 NTK131084 NJO131084 MZS131084 MPW131084 MGA131084 LWE131084 LMI131084 LCM131084 KSQ131084 KIU131084 JYY131084 JPC131084 JFG131084 IVK131084 ILO131084 IBS131084 HRW131084 HIA131084 GYE131084 GOI131084 GEM131084 FUQ131084 FKU131084 FAY131084 ERC131084 EHG131084 DXK131084 DNO131084 DDS131084 CTW131084 CKA131084 CAE131084 BQI131084 BGM131084 AWQ131084 AMU131084 ACY131084 TC131084 JG131084 K131084 WVS65548 WLW65548 WCA65548 VSE65548 VII65548 UYM65548 UOQ65548 UEU65548 TUY65548 TLC65548 TBG65548 SRK65548 SHO65548 RXS65548 RNW65548 REA65548 QUE65548 QKI65548 QAM65548 PQQ65548 PGU65548 OWY65548 ONC65548 ODG65548 NTK65548 NJO65548 MZS65548 MPW65548 MGA65548 LWE65548 LMI65548 LCM65548 KSQ65548 KIU65548 JYY65548 JPC65548 JFG65548 IVK65548 ILO65548 IBS65548 HRW65548 HIA65548 GYE65548 GOI65548 GEM65548 FUQ65548 FKU65548 FAY65548 ERC65548 EHG65548 DXK65548 DNO65548 DDS65548 CTW65548 CKA65548 CAE65548 BQI65548 BGM65548 AWQ65548 AMU65548 ACY65548 TC65548 JG65548 K65548 WVS12 WLW12 WCA12 VSE12 VII12 UYM12 UOQ12 UEU12 TUY12 TLC12 TBG12 SRK12 SHO12 RXS12 RNW12 REA12 QUE12 QKI12 QAM12 PQQ12 PGU12 OWY12 ONC12 ODG12 NTK12 NJO12 MZS12 MPW12 MGA12 LWE12 LMI12 LCM12 KSQ12 KIU12 JYY12 JPC12 JFG12 IVK12 ILO12 IBS12 HRW12 HIA12 GYE12 GOI12 GEM12 FUQ12 FKU12 FAY12 ERC12 EHG12 DXK12 DNO12 DDS12 CTW12 CKA12 CAE12 BQI12 BGM12 AWQ12 AMU12 ACY12 TC12 JG12 K12 WVS983059 WLW983059 WCA983059 VSE983059 VII983059 UYM983059 UOQ983059 UEU983059 TUY983059 TLC983059 TBG983059 SRK983059 SHO983059 RXS983059 RNW983059 REA983059 QUE983059 QKI983059 QAM983059 PQQ983059 PGU983059 OWY983059 ONC983059 ODG983059 NTK983059 NJO983059 MZS983059 MPW983059 MGA983059 LWE983059 LMI983059 LCM983059 KSQ983059 KIU983059 JYY983059 JPC983059 JFG983059 IVK983059 ILO983059 IBS983059 HRW983059 HIA983059 GYE983059 GOI983059 GEM983059 FUQ983059 FKU983059 FAY983059 ERC983059 EHG983059 DXK983059 DNO983059 DDS983059 CTW983059 CKA983059 CAE983059 BQI983059 BGM983059 AWQ983059 AMU983059 ACY983059 TC983059 JG983059 K983059 WVS917523 WLW917523 WCA917523 VSE917523 VII917523 UYM917523 UOQ917523 UEU917523 TUY917523 TLC917523 TBG917523 SRK917523 SHO917523 RXS917523 RNW917523 REA917523 QUE917523 QKI917523 QAM917523 PQQ917523 PGU917523 OWY917523 ONC917523 ODG917523 NTK917523 NJO917523 MZS917523 MPW917523 MGA917523 LWE917523 LMI917523 LCM917523 KSQ917523 KIU917523 JYY917523 JPC917523 JFG917523 IVK917523 ILO917523 IBS917523 HRW917523 HIA917523 GYE917523 GOI917523 GEM917523 FUQ917523 FKU917523 FAY917523 ERC917523 EHG917523 DXK917523 DNO917523 DDS917523 CTW917523 CKA917523 CAE917523 BQI917523 BGM917523 AWQ917523 AMU917523 ACY917523 TC917523 JG917523 K917523 WVS851987 WLW851987 WCA851987 VSE851987 VII851987 UYM851987 UOQ851987 UEU851987 TUY851987 TLC851987 TBG851987 SRK851987 SHO851987 RXS851987 RNW851987 REA851987 QUE851987 QKI851987 QAM851987 PQQ851987 PGU851987 OWY851987 ONC851987 ODG851987 NTK851987 NJO851987 MZS851987 MPW851987 MGA851987 LWE851987 LMI851987 LCM851987 KSQ851987 KIU851987 JYY851987 JPC851987 JFG851987 IVK851987 ILO851987 IBS851987 HRW851987 HIA851987 GYE851987 GOI851987 GEM851987 FUQ851987 FKU851987 FAY851987 ERC851987 EHG851987 DXK851987 DNO851987 DDS851987 CTW851987 CKA851987 CAE851987 BQI851987 BGM851987 AWQ851987 AMU851987 ACY851987 TC851987 JG851987 K851987 WVS786451 WLW786451 WCA786451 VSE786451 VII786451 UYM786451 UOQ786451 UEU786451 TUY786451 TLC786451 TBG786451 SRK786451 SHO786451 RXS786451 RNW786451 REA786451 QUE786451 QKI786451 QAM786451 PQQ786451 PGU786451 OWY786451 ONC786451 ODG786451 NTK786451 NJO786451 MZS786451 MPW786451 MGA786451 LWE786451 LMI786451 LCM786451 KSQ786451 KIU786451 JYY786451 JPC786451 JFG786451 IVK786451 ILO786451 IBS786451 HRW786451 HIA786451 GYE786451 GOI786451 GEM786451 FUQ786451 FKU786451 FAY786451 ERC786451 EHG786451 DXK786451 DNO786451 DDS786451 CTW786451 CKA786451 CAE786451 BQI786451 BGM786451 AWQ786451 AMU786451 ACY786451 TC786451 JG786451 K786451 WVS720915 WLW720915 WCA720915 VSE720915 VII720915 UYM720915 UOQ720915 UEU720915 TUY720915 TLC720915 TBG720915 SRK720915 SHO720915 RXS720915 RNW720915 REA720915 QUE720915 QKI720915 QAM720915 PQQ720915 PGU720915 OWY720915 ONC720915 ODG720915 NTK720915 NJO720915 MZS720915 MPW720915 MGA720915 LWE720915 LMI720915 LCM720915 KSQ720915 KIU720915 JYY720915 JPC720915 JFG720915 IVK720915 ILO720915 IBS720915 HRW720915 HIA720915 GYE720915 GOI720915 GEM720915 FUQ720915 FKU720915 FAY720915 ERC720915 EHG720915 DXK720915 DNO720915 DDS720915 CTW720915 CKA720915 CAE720915 BQI720915 BGM720915 AWQ720915 AMU720915 ACY720915 TC720915 JG720915 K720915 WVS655379 WLW655379 WCA655379 VSE655379 VII655379 UYM655379 UOQ655379 UEU655379 TUY655379 TLC655379 TBG655379 SRK655379 SHO655379 RXS655379 RNW655379 REA655379 QUE655379 QKI655379 QAM655379 PQQ655379 PGU655379 OWY655379 ONC655379 ODG655379 NTK655379 NJO655379 MZS655379 MPW655379 MGA655379 LWE655379 LMI655379 LCM655379 KSQ655379 KIU655379 JYY655379 JPC655379 JFG655379 IVK655379 ILO655379 IBS655379 HRW655379 HIA655379 GYE655379 GOI655379 GEM655379 FUQ655379 FKU655379 FAY655379 ERC655379 EHG655379 DXK655379 DNO655379 DDS655379 CTW655379 CKA655379 CAE655379 BQI655379 BGM655379 AWQ655379 AMU655379 ACY655379 TC655379 JG655379 K655379 WVS589843 WLW589843 WCA589843 VSE589843 VII589843 UYM589843 UOQ589843 UEU589843 TUY589843 TLC589843 TBG589843 SRK589843 SHO589843 RXS589843 RNW589843 REA589843 QUE589843 QKI589843 QAM589843 PQQ589843 PGU589843 OWY589843 ONC589843 ODG589843 NTK589843 NJO589843 MZS589843 MPW589843 MGA589843 LWE589843 LMI589843 LCM589843 KSQ589843 KIU589843 JYY589843 JPC589843 JFG589843 IVK589843 ILO589843 IBS589843 HRW589843 HIA589843 GYE589843 GOI589843 GEM589843 FUQ589843 FKU589843 FAY589843 ERC589843 EHG589843 DXK589843 DNO589843 DDS589843 CTW589843 CKA589843 CAE589843 BQI589843 BGM589843 AWQ589843 AMU589843 ACY589843 TC589843 JG589843 K589843 WVS524307 WLW524307 WCA524307 VSE524307 VII524307 UYM524307 UOQ524307 UEU524307 TUY524307 TLC524307 TBG524307 SRK524307 SHO524307 RXS524307 RNW524307 REA524307 QUE524307 QKI524307 QAM524307 PQQ524307 PGU524307 OWY524307 ONC524307 ODG524307 NTK524307 NJO524307 MZS524307 MPW524307 MGA524307 LWE524307 LMI524307 LCM524307 KSQ524307 KIU524307 JYY524307 JPC524307 JFG524307 IVK524307 ILO524307 IBS524307 HRW524307 HIA524307 GYE524307 GOI524307 GEM524307 FUQ524307 FKU524307 FAY524307 ERC524307 EHG524307 DXK524307 DNO524307 DDS524307 CTW524307 CKA524307 CAE524307 BQI524307 BGM524307 AWQ524307 AMU524307 ACY524307 TC524307 JG524307 K524307 WVS458771 WLW458771 WCA458771 VSE458771 VII458771 UYM458771 UOQ458771 UEU458771 TUY458771 TLC458771 TBG458771 SRK458771 SHO458771 RXS458771 RNW458771 REA458771 QUE458771 QKI458771 QAM458771 PQQ458771 PGU458771 OWY458771 ONC458771 ODG458771 NTK458771 NJO458771 MZS458771 MPW458771 MGA458771 LWE458771 LMI458771 LCM458771 KSQ458771 KIU458771 JYY458771 JPC458771 JFG458771 IVK458771 ILO458771 IBS458771 HRW458771 HIA458771 GYE458771 GOI458771 GEM458771 FUQ458771 FKU458771 FAY458771 ERC458771 EHG458771 DXK458771 DNO458771 DDS458771 CTW458771 CKA458771 CAE458771 BQI458771 BGM458771 AWQ458771 AMU458771 ACY458771 TC458771 JG458771 K458771 WVS393235 WLW393235 WCA393235 VSE393235 VII393235 UYM393235 UOQ393235 UEU393235 TUY393235 TLC393235 TBG393235 SRK393235 SHO393235 RXS393235 RNW393235 REA393235 QUE393235 QKI393235 QAM393235 PQQ393235 PGU393235 OWY393235 ONC393235 ODG393235 NTK393235 NJO393235 MZS393235 MPW393235 MGA393235 LWE393235 LMI393235 LCM393235 KSQ393235 KIU393235 JYY393235 JPC393235 JFG393235 IVK393235 ILO393235 IBS393235 HRW393235 HIA393235 GYE393235 GOI393235 GEM393235 FUQ393235 FKU393235 FAY393235 ERC393235 EHG393235 DXK393235 DNO393235 DDS393235 CTW393235 CKA393235 CAE393235 BQI393235 BGM393235 AWQ393235 AMU393235 ACY393235 TC393235 JG393235 K393235 WVS327699 WLW327699 WCA327699 VSE327699 VII327699 UYM327699 UOQ327699 UEU327699 TUY327699 TLC327699 TBG327699 SRK327699 SHO327699 RXS327699 RNW327699 REA327699 QUE327699 QKI327699 QAM327699 PQQ327699 PGU327699 OWY327699 ONC327699 ODG327699 NTK327699 NJO327699 MZS327699 MPW327699 MGA327699 LWE327699 LMI327699 LCM327699 KSQ327699 KIU327699 JYY327699 JPC327699 JFG327699 IVK327699 ILO327699 IBS327699 HRW327699 HIA327699 GYE327699 GOI327699 GEM327699 FUQ327699 FKU327699 FAY327699 ERC327699 EHG327699 DXK327699 DNO327699 DDS327699 CTW327699 CKA327699 CAE327699 BQI327699 BGM327699 AWQ327699 AMU327699 ACY327699 TC327699 JG327699 K327699 WVS262163 WLW262163 WCA262163 VSE262163 VII262163 UYM262163 UOQ262163 UEU262163 TUY262163 TLC262163 TBG262163 SRK262163 SHO262163 RXS262163 RNW262163 REA262163 QUE262163 QKI262163 QAM262163 PQQ262163 PGU262163 OWY262163 ONC262163 ODG262163 NTK262163 NJO262163 MZS262163 MPW262163 MGA262163 LWE262163 LMI262163 LCM262163 KSQ262163 KIU262163 JYY262163 JPC262163 JFG262163 IVK262163 ILO262163 IBS262163 HRW262163 HIA262163 GYE262163 GOI262163 GEM262163 FUQ262163 FKU262163 FAY262163 ERC262163 EHG262163 DXK262163 DNO262163 DDS262163 CTW262163 CKA262163 CAE262163 BQI262163 BGM262163 AWQ262163 AMU262163 ACY262163 TC262163 JG262163 K262163 WVS196627 WLW196627 WCA196627 VSE196627 VII196627 UYM196627 UOQ196627 UEU196627 TUY196627 TLC196627 TBG196627 SRK196627 SHO196627 RXS196627 RNW196627 REA196627 QUE196627 QKI196627 QAM196627 PQQ196627 PGU196627 OWY196627 ONC196627 ODG196627 NTK196627 NJO196627 MZS196627 MPW196627 MGA196627 LWE196627 LMI196627 LCM196627 KSQ196627 KIU196627 JYY196627 JPC196627 JFG196627 IVK196627 ILO196627 IBS196627 HRW196627 HIA196627 GYE196627 GOI196627 GEM196627 FUQ196627 FKU196627 FAY196627 ERC196627 EHG196627 DXK196627 DNO196627 DDS196627 CTW196627 CKA196627 CAE196627 BQI196627 BGM196627 AWQ196627 AMU196627 ACY196627 TC196627 JG196627 K196627 WVS131091 WLW131091 WCA131091 VSE131091 VII131091 UYM131091 UOQ131091 UEU131091 TUY131091 TLC131091 TBG131091 SRK131091 SHO131091 RXS131091 RNW131091 REA131091 QUE131091 QKI131091 QAM131091 PQQ131091 PGU131091 OWY131091 ONC131091 ODG131091 NTK131091 NJO131091 MZS131091 MPW131091 MGA131091 LWE131091 LMI131091 LCM131091 KSQ131091 KIU131091 JYY131091 JPC131091 JFG131091 IVK131091 ILO131091 IBS131091 HRW131091 HIA131091 GYE131091 GOI131091 GEM131091 FUQ131091 FKU131091 FAY131091 ERC131091 EHG131091 DXK131091 DNO131091 DDS131091 CTW131091 CKA131091 CAE131091 BQI131091 BGM131091 AWQ131091 AMU131091 ACY131091 TC131091 JG131091 K131091 WVS65555 WLW65555 WCA65555 VSE65555 VII65555 UYM65555 UOQ65555 UEU65555 TUY65555 TLC65555 TBG65555 SRK65555 SHO65555 RXS65555 RNW65555 REA65555 QUE65555 QKI65555 QAM65555 PQQ65555 PGU65555 OWY65555 ONC65555 ODG65555 NTK65555 NJO65555 MZS65555 MPW65555 MGA65555 LWE65555 LMI65555 LCM65555 KSQ65555 KIU65555 JYY65555 JPC65555 JFG65555 IVK65555 ILO65555 IBS65555 HRW65555 HIA65555 GYE65555 GOI65555 GEM65555 FUQ65555 FKU65555 FAY65555 ERC65555 EHG65555 DXK65555 DNO65555 DDS65555 CTW65555 CKA65555 CAE65555 BQI65555 BGM65555 AWQ65555 AMU65555 ACY65555 TC65555 JG65555 K65555 WVS19 WLW19 WCA19 VSE19 VII19 UYM19 UOQ19 UEU19 TUY19 TLC19 TBG19 SRK19 SHO19 RXS19 RNW19 REA19 QUE19 QKI19 QAM19 PQQ19 PGU19 OWY19 ONC19 ODG19 NTK19 NJO19 MZS19 MPW19 MGA19 LWE19 LMI19 LCM19 KSQ19 KIU19 JYY19 JPC19 JFG19 IVK19 ILO19 IBS19 HRW19 HIA19 GYE19 GOI19 GEM19 FUQ19 FKU19 FAY19 ERC19 EHG19 DXK19 DNO19 DDS19 CTW19 CKA19 CAE19 BQI19 BGM19 AWQ19 AMU19 ACY19 TC19 JG19 K19 WVS983048:WVS983049 WLW983048:WLW983049 WCA983048:WCA983049 VSE983048:VSE983049 VII983048:VII983049 UYM983048:UYM983049 UOQ983048:UOQ983049 UEU983048:UEU983049 TUY983048:TUY983049 TLC983048:TLC983049 TBG983048:TBG983049 SRK983048:SRK983049 SHO983048:SHO983049 RXS983048:RXS983049 RNW983048:RNW983049 REA983048:REA983049 QUE983048:QUE983049 QKI983048:QKI983049 QAM983048:QAM983049 PQQ983048:PQQ983049 PGU983048:PGU983049 OWY983048:OWY983049 ONC983048:ONC983049 ODG983048:ODG983049 NTK983048:NTK983049 NJO983048:NJO983049 MZS983048:MZS983049 MPW983048:MPW983049 MGA983048:MGA983049 LWE983048:LWE983049 LMI983048:LMI983049 LCM983048:LCM983049 KSQ983048:KSQ983049 KIU983048:KIU983049 JYY983048:JYY983049 JPC983048:JPC983049 JFG983048:JFG983049 IVK983048:IVK983049 ILO983048:ILO983049 IBS983048:IBS983049 HRW983048:HRW983049 HIA983048:HIA983049 GYE983048:GYE983049 GOI983048:GOI983049 GEM983048:GEM983049 FUQ983048:FUQ983049 FKU983048:FKU983049 FAY983048:FAY983049 ERC983048:ERC983049 EHG983048:EHG983049 DXK983048:DXK983049 DNO983048:DNO983049 DDS983048:DDS983049 CTW983048:CTW983049 CKA983048:CKA983049 CAE983048:CAE983049 BQI983048:BQI983049 BGM983048:BGM983049 AWQ983048:AWQ983049 AMU983048:AMU983049 ACY983048:ACY983049 TC983048:TC983049 JG983048:JG983049 K983048:K983049 WVS917512:WVS917513 WLW917512:WLW917513 WCA917512:WCA917513 VSE917512:VSE917513 VII917512:VII917513 UYM917512:UYM917513 UOQ917512:UOQ917513 UEU917512:UEU917513 TUY917512:TUY917513 TLC917512:TLC917513 TBG917512:TBG917513 SRK917512:SRK917513 SHO917512:SHO917513 RXS917512:RXS917513 RNW917512:RNW917513 REA917512:REA917513 QUE917512:QUE917513 QKI917512:QKI917513 QAM917512:QAM917513 PQQ917512:PQQ917513 PGU917512:PGU917513 OWY917512:OWY917513 ONC917512:ONC917513 ODG917512:ODG917513 NTK917512:NTK917513 NJO917512:NJO917513 MZS917512:MZS917513 MPW917512:MPW917513 MGA917512:MGA917513 LWE917512:LWE917513 LMI917512:LMI917513 LCM917512:LCM917513 KSQ917512:KSQ917513 KIU917512:KIU917513 JYY917512:JYY917513 JPC917512:JPC917513 JFG917512:JFG917513 IVK917512:IVK917513 ILO917512:ILO917513 IBS917512:IBS917513 HRW917512:HRW917513 HIA917512:HIA917513 GYE917512:GYE917513 GOI917512:GOI917513 GEM917512:GEM917513 FUQ917512:FUQ917513 FKU917512:FKU917513 FAY917512:FAY917513 ERC917512:ERC917513 EHG917512:EHG917513 DXK917512:DXK917513 DNO917512:DNO917513 DDS917512:DDS917513 CTW917512:CTW917513 CKA917512:CKA917513 CAE917512:CAE917513 BQI917512:BQI917513 BGM917512:BGM917513 AWQ917512:AWQ917513 AMU917512:AMU917513 ACY917512:ACY917513 TC917512:TC917513 JG917512:JG917513 K917512:K917513 WVS851976:WVS851977 WLW851976:WLW851977 WCA851976:WCA851977 VSE851976:VSE851977 VII851976:VII851977 UYM851976:UYM851977 UOQ851976:UOQ851977 UEU851976:UEU851977 TUY851976:TUY851977 TLC851976:TLC851977 TBG851976:TBG851977 SRK851976:SRK851977 SHO851976:SHO851977 RXS851976:RXS851977 RNW851976:RNW851977 REA851976:REA851977 QUE851976:QUE851977 QKI851976:QKI851977 QAM851976:QAM851977 PQQ851976:PQQ851977 PGU851976:PGU851977 OWY851976:OWY851977 ONC851976:ONC851977 ODG851976:ODG851977 NTK851976:NTK851977 NJO851976:NJO851977 MZS851976:MZS851977 MPW851976:MPW851977 MGA851976:MGA851977 LWE851976:LWE851977 LMI851976:LMI851977 LCM851976:LCM851977 KSQ851976:KSQ851977 KIU851976:KIU851977 JYY851976:JYY851977 JPC851976:JPC851977 JFG851976:JFG851977 IVK851976:IVK851977 ILO851976:ILO851977 IBS851976:IBS851977 HRW851976:HRW851977 HIA851976:HIA851977 GYE851976:GYE851977 GOI851976:GOI851977 GEM851976:GEM851977 FUQ851976:FUQ851977 FKU851976:FKU851977 FAY851976:FAY851977 ERC851976:ERC851977 EHG851976:EHG851977 DXK851976:DXK851977 DNO851976:DNO851977 DDS851976:DDS851977 CTW851976:CTW851977 CKA851976:CKA851977 CAE851976:CAE851977 BQI851976:BQI851977 BGM851976:BGM851977 AWQ851976:AWQ851977 AMU851976:AMU851977 ACY851976:ACY851977 TC851976:TC851977 JG851976:JG851977 K851976:K851977 WVS786440:WVS786441 WLW786440:WLW786441 WCA786440:WCA786441 VSE786440:VSE786441 VII786440:VII786441 UYM786440:UYM786441 UOQ786440:UOQ786441 UEU786440:UEU786441 TUY786440:TUY786441 TLC786440:TLC786441 TBG786440:TBG786441 SRK786440:SRK786441 SHO786440:SHO786441 RXS786440:RXS786441 RNW786440:RNW786441 REA786440:REA786441 QUE786440:QUE786441 QKI786440:QKI786441 QAM786440:QAM786441 PQQ786440:PQQ786441 PGU786440:PGU786441 OWY786440:OWY786441 ONC786440:ONC786441 ODG786440:ODG786441 NTK786440:NTK786441 NJO786440:NJO786441 MZS786440:MZS786441 MPW786440:MPW786441 MGA786440:MGA786441 LWE786440:LWE786441 LMI786440:LMI786441 LCM786440:LCM786441 KSQ786440:KSQ786441 KIU786440:KIU786441 JYY786440:JYY786441 JPC786440:JPC786441 JFG786440:JFG786441 IVK786440:IVK786441 ILO786440:ILO786441 IBS786440:IBS786441 HRW786440:HRW786441 HIA786440:HIA786441 GYE786440:GYE786441 GOI786440:GOI786441 GEM786440:GEM786441 FUQ786440:FUQ786441 FKU786440:FKU786441 FAY786440:FAY786441 ERC786440:ERC786441 EHG786440:EHG786441 DXK786440:DXK786441 DNO786440:DNO786441 DDS786440:DDS786441 CTW786440:CTW786441 CKA786440:CKA786441 CAE786440:CAE786441 BQI786440:BQI786441 BGM786440:BGM786441 AWQ786440:AWQ786441 AMU786440:AMU786441 ACY786440:ACY786441 TC786440:TC786441 JG786440:JG786441 K786440:K786441 WVS720904:WVS720905 WLW720904:WLW720905 WCA720904:WCA720905 VSE720904:VSE720905 VII720904:VII720905 UYM720904:UYM720905 UOQ720904:UOQ720905 UEU720904:UEU720905 TUY720904:TUY720905 TLC720904:TLC720905 TBG720904:TBG720905 SRK720904:SRK720905 SHO720904:SHO720905 RXS720904:RXS720905 RNW720904:RNW720905 REA720904:REA720905 QUE720904:QUE720905 QKI720904:QKI720905 QAM720904:QAM720905 PQQ720904:PQQ720905 PGU720904:PGU720905 OWY720904:OWY720905 ONC720904:ONC720905 ODG720904:ODG720905 NTK720904:NTK720905 NJO720904:NJO720905 MZS720904:MZS720905 MPW720904:MPW720905 MGA720904:MGA720905 LWE720904:LWE720905 LMI720904:LMI720905 LCM720904:LCM720905 KSQ720904:KSQ720905 KIU720904:KIU720905 JYY720904:JYY720905 JPC720904:JPC720905 JFG720904:JFG720905 IVK720904:IVK720905 ILO720904:ILO720905 IBS720904:IBS720905 HRW720904:HRW720905 HIA720904:HIA720905 GYE720904:GYE720905 GOI720904:GOI720905 GEM720904:GEM720905 FUQ720904:FUQ720905 FKU720904:FKU720905 FAY720904:FAY720905 ERC720904:ERC720905 EHG720904:EHG720905 DXK720904:DXK720905 DNO720904:DNO720905 DDS720904:DDS720905 CTW720904:CTW720905 CKA720904:CKA720905 CAE720904:CAE720905 BQI720904:BQI720905 BGM720904:BGM720905 AWQ720904:AWQ720905 AMU720904:AMU720905 ACY720904:ACY720905 TC720904:TC720905 JG720904:JG720905 K720904:K720905 WVS655368:WVS655369 WLW655368:WLW655369 WCA655368:WCA655369 VSE655368:VSE655369 VII655368:VII655369 UYM655368:UYM655369 UOQ655368:UOQ655369 UEU655368:UEU655369 TUY655368:TUY655369 TLC655368:TLC655369 TBG655368:TBG655369 SRK655368:SRK655369 SHO655368:SHO655369 RXS655368:RXS655369 RNW655368:RNW655369 REA655368:REA655369 QUE655368:QUE655369 QKI655368:QKI655369 QAM655368:QAM655369 PQQ655368:PQQ655369 PGU655368:PGU655369 OWY655368:OWY655369 ONC655368:ONC655369 ODG655368:ODG655369 NTK655368:NTK655369 NJO655368:NJO655369 MZS655368:MZS655369 MPW655368:MPW655369 MGA655368:MGA655369 LWE655368:LWE655369 LMI655368:LMI655369 LCM655368:LCM655369 KSQ655368:KSQ655369 KIU655368:KIU655369 JYY655368:JYY655369 JPC655368:JPC655369 JFG655368:JFG655369 IVK655368:IVK655369 ILO655368:ILO655369 IBS655368:IBS655369 HRW655368:HRW655369 HIA655368:HIA655369 GYE655368:GYE655369 GOI655368:GOI655369 GEM655368:GEM655369 FUQ655368:FUQ655369 FKU655368:FKU655369 FAY655368:FAY655369 ERC655368:ERC655369 EHG655368:EHG655369 DXK655368:DXK655369 DNO655368:DNO655369 DDS655368:DDS655369 CTW655368:CTW655369 CKA655368:CKA655369 CAE655368:CAE655369 BQI655368:BQI655369 BGM655368:BGM655369 AWQ655368:AWQ655369 AMU655368:AMU655369 ACY655368:ACY655369 TC655368:TC655369 JG655368:JG655369 K655368:K655369 WVS589832:WVS589833 WLW589832:WLW589833 WCA589832:WCA589833 VSE589832:VSE589833 VII589832:VII589833 UYM589832:UYM589833 UOQ589832:UOQ589833 UEU589832:UEU589833 TUY589832:TUY589833 TLC589832:TLC589833 TBG589832:TBG589833 SRK589832:SRK589833 SHO589832:SHO589833 RXS589832:RXS589833 RNW589832:RNW589833 REA589832:REA589833 QUE589832:QUE589833 QKI589832:QKI589833 QAM589832:QAM589833 PQQ589832:PQQ589833 PGU589832:PGU589833 OWY589832:OWY589833 ONC589832:ONC589833 ODG589832:ODG589833 NTK589832:NTK589833 NJO589832:NJO589833 MZS589832:MZS589833 MPW589832:MPW589833 MGA589832:MGA589833 LWE589832:LWE589833 LMI589832:LMI589833 LCM589832:LCM589833 KSQ589832:KSQ589833 KIU589832:KIU589833 JYY589832:JYY589833 JPC589832:JPC589833 JFG589832:JFG589833 IVK589832:IVK589833 ILO589832:ILO589833 IBS589832:IBS589833 HRW589832:HRW589833 HIA589832:HIA589833 GYE589832:GYE589833 GOI589832:GOI589833 GEM589832:GEM589833 FUQ589832:FUQ589833 FKU589832:FKU589833 FAY589832:FAY589833 ERC589832:ERC589833 EHG589832:EHG589833 DXK589832:DXK589833 DNO589832:DNO589833 DDS589832:DDS589833 CTW589832:CTW589833 CKA589832:CKA589833 CAE589832:CAE589833 BQI589832:BQI589833 BGM589832:BGM589833 AWQ589832:AWQ589833 AMU589832:AMU589833 ACY589832:ACY589833 TC589832:TC589833 JG589832:JG589833 K589832:K589833 WVS524296:WVS524297 WLW524296:WLW524297 WCA524296:WCA524297 VSE524296:VSE524297 VII524296:VII524297 UYM524296:UYM524297 UOQ524296:UOQ524297 UEU524296:UEU524297 TUY524296:TUY524297 TLC524296:TLC524297 TBG524296:TBG524297 SRK524296:SRK524297 SHO524296:SHO524297 RXS524296:RXS524297 RNW524296:RNW524297 REA524296:REA524297 QUE524296:QUE524297 QKI524296:QKI524297 QAM524296:QAM524297 PQQ524296:PQQ524297 PGU524296:PGU524297 OWY524296:OWY524297 ONC524296:ONC524297 ODG524296:ODG524297 NTK524296:NTK524297 NJO524296:NJO524297 MZS524296:MZS524297 MPW524296:MPW524297 MGA524296:MGA524297 LWE524296:LWE524297 LMI524296:LMI524297 LCM524296:LCM524297 KSQ524296:KSQ524297 KIU524296:KIU524297 JYY524296:JYY524297 JPC524296:JPC524297 JFG524296:JFG524297 IVK524296:IVK524297 ILO524296:ILO524297 IBS524296:IBS524297 HRW524296:HRW524297 HIA524296:HIA524297 GYE524296:GYE524297 GOI524296:GOI524297 GEM524296:GEM524297 FUQ524296:FUQ524297 FKU524296:FKU524297 FAY524296:FAY524297 ERC524296:ERC524297 EHG524296:EHG524297 DXK524296:DXK524297 DNO524296:DNO524297 DDS524296:DDS524297 CTW524296:CTW524297 CKA524296:CKA524297 CAE524296:CAE524297 BQI524296:BQI524297 BGM524296:BGM524297 AWQ524296:AWQ524297 AMU524296:AMU524297 ACY524296:ACY524297 TC524296:TC524297 JG524296:JG524297 K524296:K524297 WVS458760:WVS458761 WLW458760:WLW458761 WCA458760:WCA458761 VSE458760:VSE458761 VII458760:VII458761 UYM458760:UYM458761 UOQ458760:UOQ458761 UEU458760:UEU458761 TUY458760:TUY458761 TLC458760:TLC458761 TBG458760:TBG458761 SRK458760:SRK458761 SHO458760:SHO458761 RXS458760:RXS458761 RNW458760:RNW458761 REA458760:REA458761 QUE458760:QUE458761 QKI458760:QKI458761 QAM458760:QAM458761 PQQ458760:PQQ458761 PGU458760:PGU458761 OWY458760:OWY458761 ONC458760:ONC458761 ODG458760:ODG458761 NTK458760:NTK458761 NJO458760:NJO458761 MZS458760:MZS458761 MPW458760:MPW458761 MGA458760:MGA458761 LWE458760:LWE458761 LMI458760:LMI458761 LCM458760:LCM458761 KSQ458760:KSQ458761 KIU458760:KIU458761 JYY458760:JYY458761 JPC458760:JPC458761 JFG458760:JFG458761 IVK458760:IVK458761 ILO458760:ILO458761 IBS458760:IBS458761 HRW458760:HRW458761 HIA458760:HIA458761 GYE458760:GYE458761 GOI458760:GOI458761 GEM458760:GEM458761 FUQ458760:FUQ458761 FKU458760:FKU458761 FAY458760:FAY458761 ERC458760:ERC458761 EHG458760:EHG458761 DXK458760:DXK458761 DNO458760:DNO458761 DDS458760:DDS458761 CTW458760:CTW458761 CKA458760:CKA458761 CAE458760:CAE458761 BQI458760:BQI458761 BGM458760:BGM458761 AWQ458760:AWQ458761 AMU458760:AMU458761 ACY458760:ACY458761 TC458760:TC458761 JG458760:JG458761 K458760:K458761 WVS393224:WVS393225 WLW393224:WLW393225 WCA393224:WCA393225 VSE393224:VSE393225 VII393224:VII393225 UYM393224:UYM393225 UOQ393224:UOQ393225 UEU393224:UEU393225 TUY393224:TUY393225 TLC393224:TLC393225 TBG393224:TBG393225 SRK393224:SRK393225 SHO393224:SHO393225 RXS393224:RXS393225 RNW393224:RNW393225 REA393224:REA393225 QUE393224:QUE393225 QKI393224:QKI393225 QAM393224:QAM393225 PQQ393224:PQQ393225 PGU393224:PGU393225 OWY393224:OWY393225 ONC393224:ONC393225 ODG393224:ODG393225 NTK393224:NTK393225 NJO393224:NJO393225 MZS393224:MZS393225 MPW393224:MPW393225 MGA393224:MGA393225 LWE393224:LWE393225 LMI393224:LMI393225 LCM393224:LCM393225 KSQ393224:KSQ393225 KIU393224:KIU393225 JYY393224:JYY393225 JPC393224:JPC393225 JFG393224:JFG393225 IVK393224:IVK393225 ILO393224:ILO393225 IBS393224:IBS393225 HRW393224:HRW393225 HIA393224:HIA393225 GYE393224:GYE393225 GOI393224:GOI393225 GEM393224:GEM393225 FUQ393224:FUQ393225 FKU393224:FKU393225 FAY393224:FAY393225 ERC393224:ERC393225 EHG393224:EHG393225 DXK393224:DXK393225 DNO393224:DNO393225 DDS393224:DDS393225 CTW393224:CTW393225 CKA393224:CKA393225 CAE393224:CAE393225 BQI393224:BQI393225 BGM393224:BGM393225 AWQ393224:AWQ393225 AMU393224:AMU393225 ACY393224:ACY393225 TC393224:TC393225 JG393224:JG393225 K393224:K393225 WVS327688:WVS327689 WLW327688:WLW327689 WCA327688:WCA327689 VSE327688:VSE327689 VII327688:VII327689 UYM327688:UYM327689 UOQ327688:UOQ327689 UEU327688:UEU327689 TUY327688:TUY327689 TLC327688:TLC327689 TBG327688:TBG327689 SRK327688:SRK327689 SHO327688:SHO327689 RXS327688:RXS327689 RNW327688:RNW327689 REA327688:REA327689 QUE327688:QUE327689 QKI327688:QKI327689 QAM327688:QAM327689 PQQ327688:PQQ327689 PGU327688:PGU327689 OWY327688:OWY327689 ONC327688:ONC327689 ODG327688:ODG327689 NTK327688:NTK327689 NJO327688:NJO327689 MZS327688:MZS327689 MPW327688:MPW327689 MGA327688:MGA327689 LWE327688:LWE327689 LMI327688:LMI327689 LCM327688:LCM327689 KSQ327688:KSQ327689 KIU327688:KIU327689 JYY327688:JYY327689 JPC327688:JPC327689 JFG327688:JFG327689 IVK327688:IVK327689 ILO327688:ILO327689 IBS327688:IBS327689 HRW327688:HRW327689 HIA327688:HIA327689 GYE327688:GYE327689 GOI327688:GOI327689 GEM327688:GEM327689 FUQ327688:FUQ327689 FKU327688:FKU327689 FAY327688:FAY327689 ERC327688:ERC327689 EHG327688:EHG327689 DXK327688:DXK327689 DNO327688:DNO327689 DDS327688:DDS327689 CTW327688:CTW327689 CKA327688:CKA327689 CAE327688:CAE327689 BQI327688:BQI327689 BGM327688:BGM327689 AWQ327688:AWQ327689 AMU327688:AMU327689 ACY327688:ACY327689 TC327688:TC327689 JG327688:JG327689 K327688:K327689 WVS262152:WVS262153 WLW262152:WLW262153 WCA262152:WCA262153 VSE262152:VSE262153 VII262152:VII262153 UYM262152:UYM262153 UOQ262152:UOQ262153 UEU262152:UEU262153 TUY262152:TUY262153 TLC262152:TLC262153 TBG262152:TBG262153 SRK262152:SRK262153 SHO262152:SHO262153 RXS262152:RXS262153 RNW262152:RNW262153 REA262152:REA262153 QUE262152:QUE262153 QKI262152:QKI262153 QAM262152:QAM262153 PQQ262152:PQQ262153 PGU262152:PGU262153 OWY262152:OWY262153 ONC262152:ONC262153 ODG262152:ODG262153 NTK262152:NTK262153 NJO262152:NJO262153 MZS262152:MZS262153 MPW262152:MPW262153 MGA262152:MGA262153 LWE262152:LWE262153 LMI262152:LMI262153 LCM262152:LCM262153 KSQ262152:KSQ262153 KIU262152:KIU262153 JYY262152:JYY262153 JPC262152:JPC262153 JFG262152:JFG262153 IVK262152:IVK262153 ILO262152:ILO262153 IBS262152:IBS262153 HRW262152:HRW262153 HIA262152:HIA262153 GYE262152:GYE262153 GOI262152:GOI262153 GEM262152:GEM262153 FUQ262152:FUQ262153 FKU262152:FKU262153 FAY262152:FAY262153 ERC262152:ERC262153 EHG262152:EHG262153 DXK262152:DXK262153 DNO262152:DNO262153 DDS262152:DDS262153 CTW262152:CTW262153 CKA262152:CKA262153 CAE262152:CAE262153 BQI262152:BQI262153 BGM262152:BGM262153 AWQ262152:AWQ262153 AMU262152:AMU262153 ACY262152:ACY262153 TC262152:TC262153 JG262152:JG262153 K262152:K262153 WVS196616:WVS196617 WLW196616:WLW196617 WCA196616:WCA196617 VSE196616:VSE196617 VII196616:VII196617 UYM196616:UYM196617 UOQ196616:UOQ196617 UEU196616:UEU196617 TUY196616:TUY196617 TLC196616:TLC196617 TBG196616:TBG196617 SRK196616:SRK196617 SHO196616:SHO196617 RXS196616:RXS196617 RNW196616:RNW196617 REA196616:REA196617 QUE196616:QUE196617 QKI196616:QKI196617 QAM196616:QAM196617 PQQ196616:PQQ196617 PGU196616:PGU196617 OWY196616:OWY196617 ONC196616:ONC196617 ODG196616:ODG196617 NTK196616:NTK196617 NJO196616:NJO196617 MZS196616:MZS196617 MPW196616:MPW196617 MGA196616:MGA196617 LWE196616:LWE196617 LMI196616:LMI196617 LCM196616:LCM196617 KSQ196616:KSQ196617 KIU196616:KIU196617 JYY196616:JYY196617 JPC196616:JPC196617 JFG196616:JFG196617 IVK196616:IVK196617 ILO196616:ILO196617 IBS196616:IBS196617 HRW196616:HRW196617 HIA196616:HIA196617 GYE196616:GYE196617 GOI196616:GOI196617 GEM196616:GEM196617 FUQ196616:FUQ196617 FKU196616:FKU196617 FAY196616:FAY196617 ERC196616:ERC196617 EHG196616:EHG196617 DXK196616:DXK196617 DNO196616:DNO196617 DDS196616:DDS196617 CTW196616:CTW196617 CKA196616:CKA196617 CAE196616:CAE196617 BQI196616:BQI196617 BGM196616:BGM196617 AWQ196616:AWQ196617 AMU196616:AMU196617 ACY196616:ACY196617 TC196616:TC196617 JG196616:JG196617 K196616:K196617 WVS131080:WVS131081 WLW131080:WLW131081 WCA131080:WCA131081 VSE131080:VSE131081 VII131080:VII131081 UYM131080:UYM131081 UOQ131080:UOQ131081 UEU131080:UEU131081 TUY131080:TUY131081 TLC131080:TLC131081 TBG131080:TBG131081 SRK131080:SRK131081 SHO131080:SHO131081 RXS131080:RXS131081 RNW131080:RNW131081 REA131080:REA131081 QUE131080:QUE131081 QKI131080:QKI131081 QAM131080:QAM131081 PQQ131080:PQQ131081 PGU131080:PGU131081 OWY131080:OWY131081 ONC131080:ONC131081 ODG131080:ODG131081 NTK131080:NTK131081 NJO131080:NJO131081 MZS131080:MZS131081 MPW131080:MPW131081 MGA131080:MGA131081 LWE131080:LWE131081 LMI131080:LMI131081 LCM131080:LCM131081 KSQ131080:KSQ131081 KIU131080:KIU131081 JYY131080:JYY131081 JPC131080:JPC131081 JFG131080:JFG131081 IVK131080:IVK131081 ILO131080:ILO131081 IBS131080:IBS131081 HRW131080:HRW131081 HIA131080:HIA131081 GYE131080:GYE131081 GOI131080:GOI131081 GEM131080:GEM131081 FUQ131080:FUQ131081 FKU131080:FKU131081 FAY131080:FAY131081 ERC131080:ERC131081 EHG131080:EHG131081 DXK131080:DXK131081 DNO131080:DNO131081 DDS131080:DDS131081 CTW131080:CTW131081 CKA131080:CKA131081 CAE131080:CAE131081 BQI131080:BQI131081 BGM131080:BGM131081 AWQ131080:AWQ131081 AMU131080:AMU131081 ACY131080:ACY131081 TC131080:TC131081 JG131080:JG131081 K131080:K131081 WVS65544:WVS65545 WLW65544:WLW65545 WCA65544:WCA65545 VSE65544:VSE65545 VII65544:VII65545 UYM65544:UYM65545 UOQ65544:UOQ65545 UEU65544:UEU65545 TUY65544:TUY65545 TLC65544:TLC65545 TBG65544:TBG65545 SRK65544:SRK65545 SHO65544:SHO65545 RXS65544:RXS65545 RNW65544:RNW65545 REA65544:REA65545 QUE65544:QUE65545 QKI65544:QKI65545 QAM65544:QAM65545 PQQ65544:PQQ65545 PGU65544:PGU65545 OWY65544:OWY65545 ONC65544:ONC65545 ODG65544:ODG65545 NTK65544:NTK65545 NJO65544:NJO65545 MZS65544:MZS65545 MPW65544:MPW65545 MGA65544:MGA65545 LWE65544:LWE65545 LMI65544:LMI65545 LCM65544:LCM65545 KSQ65544:KSQ65545 KIU65544:KIU65545 JYY65544:JYY65545 JPC65544:JPC65545 JFG65544:JFG65545 IVK65544:IVK65545 ILO65544:ILO65545 IBS65544:IBS65545 HRW65544:HRW65545 HIA65544:HIA65545 GYE65544:GYE65545 GOI65544:GOI65545 GEM65544:GEM65545 FUQ65544:FUQ65545 FKU65544:FKU65545 FAY65544:FAY65545 ERC65544:ERC65545 EHG65544:EHG65545 DXK65544:DXK65545 DNO65544:DNO65545 DDS65544:DDS65545 CTW65544:CTW65545 CKA65544:CKA65545 CAE65544:CAE65545 BQI65544:BQI65545 BGM65544:BGM65545 AWQ65544:AWQ65545 AMU65544:AMU65545 ACY65544:ACY65545 TC65544:TC65545 JG65544:JG65545 K65544:K65545 WVS8:WVS9 WLW8:WLW9 WCA8:WCA9 VSE8:VSE9 VII8:VII9 UYM8:UYM9 UOQ8:UOQ9 UEU8:UEU9 TUY8:TUY9 TLC8:TLC9 TBG8:TBG9 SRK8:SRK9 SHO8:SHO9 RXS8:RXS9 RNW8:RNW9 REA8:REA9 QUE8:QUE9 QKI8:QKI9 QAM8:QAM9 PQQ8:PQQ9 PGU8:PGU9 OWY8:OWY9 ONC8:ONC9 ODG8:ODG9 NTK8:NTK9 NJO8:NJO9 MZS8:MZS9 MPW8:MPW9 MGA8:MGA9 LWE8:LWE9 LMI8:LMI9 LCM8:LCM9 KSQ8:KSQ9 KIU8:KIU9 JYY8:JYY9 JPC8:JPC9 JFG8:JFG9 IVK8:IVK9 ILO8:ILO9 IBS8:IBS9 HRW8:HRW9 HIA8:HIA9 GYE8:GYE9 GOI8:GOI9 GEM8:GEM9 FUQ8:FUQ9 FKU8:FKU9 FAY8:FAY9 ERC8:ERC9 EHG8:EHG9 DXK8:DXK9 DNO8:DNO9 DDS8:DDS9 CTW8:CTW9 CKA8:CKA9 CAE8:CAE9 BQI8:BQI9 BGM8:BGM9 AWQ8:AWQ9 AMU8:AMU9 ACY8:ACY9 TC8:TC9 JG8:JG9">
      <formula1>$Z$3:$Z$4</formula1>
    </dataValidation>
  </dataValidations>
  <hyperlinks>
    <hyperlink ref="P19" r:id="rId1"/>
  </hyperlinks>
  <pageMargins left="0.7" right="0.7" top="0.75" bottom="0.75" header="0.3" footer="0.3"/>
  <pageSetup orientation="portrait" r:id="rId2"/>
  <ignoredErrors>
    <ignoredError sqref="D10:D13 C19:C21"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workbookViewId="0">
      <selection activeCell="E31" sqref="E31"/>
    </sheetView>
  </sheetViews>
  <sheetFormatPr defaultRowHeight="15" x14ac:dyDescent="0.25"/>
  <cols>
    <col min="1" max="1" width="3.5703125" customWidth="1"/>
    <col min="6" max="6" width="8.140625" customWidth="1"/>
    <col min="7" max="7" width="4" customWidth="1"/>
    <col min="12" max="12" width="6" customWidth="1"/>
    <col min="13" max="13" width="1.5703125" customWidth="1"/>
    <col min="14" max="14" width="1.5703125" style="139" customWidth="1"/>
    <col min="15" max="15" width="1.5703125" customWidth="1"/>
    <col min="16" max="16" width="4.7109375" customWidth="1"/>
    <col min="21" max="21" width="6" customWidth="1"/>
    <col min="22" max="22" width="4" customWidth="1"/>
    <col min="28" max="28" width="11" customWidth="1"/>
    <col min="257" max="257" width="3.5703125" customWidth="1"/>
    <col min="262" max="262" width="8.140625" customWidth="1"/>
    <col min="263" max="263" width="4" customWidth="1"/>
    <col min="268" max="268" width="6" customWidth="1"/>
    <col min="269" max="271" width="1.5703125" customWidth="1"/>
    <col min="272" max="272" width="4.7109375" customWidth="1"/>
    <col min="277" max="277" width="6" customWidth="1"/>
    <col min="278" max="278" width="4" customWidth="1"/>
    <col min="284" max="284" width="11" customWidth="1"/>
    <col min="513" max="513" width="3.5703125" customWidth="1"/>
    <col min="518" max="518" width="8.140625" customWidth="1"/>
    <col min="519" max="519" width="4" customWidth="1"/>
    <col min="524" max="524" width="6" customWidth="1"/>
    <col min="525" max="527" width="1.5703125" customWidth="1"/>
    <col min="528" max="528" width="4.7109375" customWidth="1"/>
    <col min="533" max="533" width="6" customWidth="1"/>
    <col min="534" max="534" width="4" customWidth="1"/>
    <col min="540" max="540" width="11" customWidth="1"/>
    <col min="769" max="769" width="3.5703125" customWidth="1"/>
    <col min="774" max="774" width="8.140625" customWidth="1"/>
    <col min="775" max="775" width="4" customWidth="1"/>
    <col min="780" max="780" width="6" customWidth="1"/>
    <col min="781" max="783" width="1.5703125" customWidth="1"/>
    <col min="784" max="784" width="4.7109375" customWidth="1"/>
    <col min="789" max="789" width="6" customWidth="1"/>
    <col min="790" max="790" width="4" customWidth="1"/>
    <col min="796" max="796" width="11" customWidth="1"/>
    <col min="1025" max="1025" width="3.5703125" customWidth="1"/>
    <col min="1030" max="1030" width="8.140625" customWidth="1"/>
    <col min="1031" max="1031" width="4" customWidth="1"/>
    <col min="1036" max="1036" width="6" customWidth="1"/>
    <col min="1037" max="1039" width="1.5703125" customWidth="1"/>
    <col min="1040" max="1040" width="4.7109375" customWidth="1"/>
    <col min="1045" max="1045" width="6" customWidth="1"/>
    <col min="1046" max="1046" width="4" customWidth="1"/>
    <col min="1052" max="1052" width="11" customWidth="1"/>
    <col min="1281" max="1281" width="3.5703125" customWidth="1"/>
    <col min="1286" max="1286" width="8.140625" customWidth="1"/>
    <col min="1287" max="1287" width="4" customWidth="1"/>
    <col min="1292" max="1292" width="6" customWidth="1"/>
    <col min="1293" max="1295" width="1.5703125" customWidth="1"/>
    <col min="1296" max="1296" width="4.7109375" customWidth="1"/>
    <col min="1301" max="1301" width="6" customWidth="1"/>
    <col min="1302" max="1302" width="4" customWidth="1"/>
    <col min="1308" max="1308" width="11" customWidth="1"/>
    <col min="1537" max="1537" width="3.5703125" customWidth="1"/>
    <col min="1542" max="1542" width="8.140625" customWidth="1"/>
    <col min="1543" max="1543" width="4" customWidth="1"/>
    <col min="1548" max="1548" width="6" customWidth="1"/>
    <col min="1549" max="1551" width="1.5703125" customWidth="1"/>
    <col min="1552" max="1552" width="4.7109375" customWidth="1"/>
    <col min="1557" max="1557" width="6" customWidth="1"/>
    <col min="1558" max="1558" width="4" customWidth="1"/>
    <col min="1564" max="1564" width="11" customWidth="1"/>
    <col min="1793" max="1793" width="3.5703125" customWidth="1"/>
    <col min="1798" max="1798" width="8.140625" customWidth="1"/>
    <col min="1799" max="1799" width="4" customWidth="1"/>
    <col min="1804" max="1804" width="6" customWidth="1"/>
    <col min="1805" max="1807" width="1.5703125" customWidth="1"/>
    <col min="1808" max="1808" width="4.7109375" customWidth="1"/>
    <col min="1813" max="1813" width="6" customWidth="1"/>
    <col min="1814" max="1814" width="4" customWidth="1"/>
    <col min="1820" max="1820" width="11" customWidth="1"/>
    <col min="2049" max="2049" width="3.5703125" customWidth="1"/>
    <col min="2054" max="2054" width="8.140625" customWidth="1"/>
    <col min="2055" max="2055" width="4" customWidth="1"/>
    <col min="2060" max="2060" width="6" customWidth="1"/>
    <col min="2061" max="2063" width="1.5703125" customWidth="1"/>
    <col min="2064" max="2064" width="4.7109375" customWidth="1"/>
    <col min="2069" max="2069" width="6" customWidth="1"/>
    <col min="2070" max="2070" width="4" customWidth="1"/>
    <col min="2076" max="2076" width="11" customWidth="1"/>
    <col min="2305" max="2305" width="3.5703125" customWidth="1"/>
    <col min="2310" max="2310" width="8.140625" customWidth="1"/>
    <col min="2311" max="2311" width="4" customWidth="1"/>
    <col min="2316" max="2316" width="6" customWidth="1"/>
    <col min="2317" max="2319" width="1.5703125" customWidth="1"/>
    <col min="2320" max="2320" width="4.7109375" customWidth="1"/>
    <col min="2325" max="2325" width="6" customWidth="1"/>
    <col min="2326" max="2326" width="4" customWidth="1"/>
    <col min="2332" max="2332" width="11" customWidth="1"/>
    <col min="2561" max="2561" width="3.5703125" customWidth="1"/>
    <col min="2566" max="2566" width="8.140625" customWidth="1"/>
    <col min="2567" max="2567" width="4" customWidth="1"/>
    <col min="2572" max="2572" width="6" customWidth="1"/>
    <col min="2573" max="2575" width="1.5703125" customWidth="1"/>
    <col min="2576" max="2576" width="4.7109375" customWidth="1"/>
    <col min="2581" max="2581" width="6" customWidth="1"/>
    <col min="2582" max="2582" width="4" customWidth="1"/>
    <col min="2588" max="2588" width="11" customWidth="1"/>
    <col min="2817" max="2817" width="3.5703125" customWidth="1"/>
    <col min="2822" max="2822" width="8.140625" customWidth="1"/>
    <col min="2823" max="2823" width="4" customWidth="1"/>
    <col min="2828" max="2828" width="6" customWidth="1"/>
    <col min="2829" max="2831" width="1.5703125" customWidth="1"/>
    <col min="2832" max="2832" width="4.7109375" customWidth="1"/>
    <col min="2837" max="2837" width="6" customWidth="1"/>
    <col min="2838" max="2838" width="4" customWidth="1"/>
    <col min="2844" max="2844" width="11" customWidth="1"/>
    <col min="3073" max="3073" width="3.5703125" customWidth="1"/>
    <col min="3078" max="3078" width="8.140625" customWidth="1"/>
    <col min="3079" max="3079" width="4" customWidth="1"/>
    <col min="3084" max="3084" width="6" customWidth="1"/>
    <col min="3085" max="3087" width="1.5703125" customWidth="1"/>
    <col min="3088" max="3088" width="4.7109375" customWidth="1"/>
    <col min="3093" max="3093" width="6" customWidth="1"/>
    <col min="3094" max="3094" width="4" customWidth="1"/>
    <col min="3100" max="3100" width="11" customWidth="1"/>
    <col min="3329" max="3329" width="3.5703125" customWidth="1"/>
    <col min="3334" max="3334" width="8.140625" customWidth="1"/>
    <col min="3335" max="3335" width="4" customWidth="1"/>
    <col min="3340" max="3340" width="6" customWidth="1"/>
    <col min="3341" max="3343" width="1.5703125" customWidth="1"/>
    <col min="3344" max="3344" width="4.7109375" customWidth="1"/>
    <col min="3349" max="3349" width="6" customWidth="1"/>
    <col min="3350" max="3350" width="4" customWidth="1"/>
    <col min="3356" max="3356" width="11" customWidth="1"/>
    <col min="3585" max="3585" width="3.5703125" customWidth="1"/>
    <col min="3590" max="3590" width="8.140625" customWidth="1"/>
    <col min="3591" max="3591" width="4" customWidth="1"/>
    <col min="3596" max="3596" width="6" customWidth="1"/>
    <col min="3597" max="3599" width="1.5703125" customWidth="1"/>
    <col min="3600" max="3600" width="4.7109375" customWidth="1"/>
    <col min="3605" max="3605" width="6" customWidth="1"/>
    <col min="3606" max="3606" width="4" customWidth="1"/>
    <col min="3612" max="3612" width="11" customWidth="1"/>
    <col min="3841" max="3841" width="3.5703125" customWidth="1"/>
    <col min="3846" max="3846" width="8.140625" customWidth="1"/>
    <col min="3847" max="3847" width="4" customWidth="1"/>
    <col min="3852" max="3852" width="6" customWidth="1"/>
    <col min="3853" max="3855" width="1.5703125" customWidth="1"/>
    <col min="3856" max="3856" width="4.7109375" customWidth="1"/>
    <col min="3861" max="3861" width="6" customWidth="1"/>
    <col min="3862" max="3862" width="4" customWidth="1"/>
    <col min="3868" max="3868" width="11" customWidth="1"/>
    <col min="4097" max="4097" width="3.5703125" customWidth="1"/>
    <col min="4102" max="4102" width="8.140625" customWidth="1"/>
    <col min="4103" max="4103" width="4" customWidth="1"/>
    <col min="4108" max="4108" width="6" customWidth="1"/>
    <col min="4109" max="4111" width="1.5703125" customWidth="1"/>
    <col min="4112" max="4112" width="4.7109375" customWidth="1"/>
    <col min="4117" max="4117" width="6" customWidth="1"/>
    <col min="4118" max="4118" width="4" customWidth="1"/>
    <col min="4124" max="4124" width="11" customWidth="1"/>
    <col min="4353" max="4353" width="3.5703125" customWidth="1"/>
    <col min="4358" max="4358" width="8.140625" customWidth="1"/>
    <col min="4359" max="4359" width="4" customWidth="1"/>
    <col min="4364" max="4364" width="6" customWidth="1"/>
    <col min="4365" max="4367" width="1.5703125" customWidth="1"/>
    <col min="4368" max="4368" width="4.7109375" customWidth="1"/>
    <col min="4373" max="4373" width="6" customWidth="1"/>
    <col min="4374" max="4374" width="4" customWidth="1"/>
    <col min="4380" max="4380" width="11" customWidth="1"/>
    <col min="4609" max="4609" width="3.5703125" customWidth="1"/>
    <col min="4614" max="4614" width="8.140625" customWidth="1"/>
    <col min="4615" max="4615" width="4" customWidth="1"/>
    <col min="4620" max="4620" width="6" customWidth="1"/>
    <col min="4621" max="4623" width="1.5703125" customWidth="1"/>
    <col min="4624" max="4624" width="4.7109375" customWidth="1"/>
    <col min="4629" max="4629" width="6" customWidth="1"/>
    <col min="4630" max="4630" width="4" customWidth="1"/>
    <col min="4636" max="4636" width="11" customWidth="1"/>
    <col min="4865" max="4865" width="3.5703125" customWidth="1"/>
    <col min="4870" max="4870" width="8.140625" customWidth="1"/>
    <col min="4871" max="4871" width="4" customWidth="1"/>
    <col min="4876" max="4876" width="6" customWidth="1"/>
    <col min="4877" max="4879" width="1.5703125" customWidth="1"/>
    <col min="4880" max="4880" width="4.7109375" customWidth="1"/>
    <col min="4885" max="4885" width="6" customWidth="1"/>
    <col min="4886" max="4886" width="4" customWidth="1"/>
    <col min="4892" max="4892" width="11" customWidth="1"/>
    <col min="5121" max="5121" width="3.5703125" customWidth="1"/>
    <col min="5126" max="5126" width="8.140625" customWidth="1"/>
    <col min="5127" max="5127" width="4" customWidth="1"/>
    <col min="5132" max="5132" width="6" customWidth="1"/>
    <col min="5133" max="5135" width="1.5703125" customWidth="1"/>
    <col min="5136" max="5136" width="4.7109375" customWidth="1"/>
    <col min="5141" max="5141" width="6" customWidth="1"/>
    <col min="5142" max="5142" width="4" customWidth="1"/>
    <col min="5148" max="5148" width="11" customWidth="1"/>
    <col min="5377" max="5377" width="3.5703125" customWidth="1"/>
    <col min="5382" max="5382" width="8.140625" customWidth="1"/>
    <col min="5383" max="5383" width="4" customWidth="1"/>
    <col min="5388" max="5388" width="6" customWidth="1"/>
    <col min="5389" max="5391" width="1.5703125" customWidth="1"/>
    <col min="5392" max="5392" width="4.7109375" customWidth="1"/>
    <col min="5397" max="5397" width="6" customWidth="1"/>
    <col min="5398" max="5398" width="4" customWidth="1"/>
    <col min="5404" max="5404" width="11" customWidth="1"/>
    <col min="5633" max="5633" width="3.5703125" customWidth="1"/>
    <col min="5638" max="5638" width="8.140625" customWidth="1"/>
    <col min="5639" max="5639" width="4" customWidth="1"/>
    <col min="5644" max="5644" width="6" customWidth="1"/>
    <col min="5645" max="5647" width="1.5703125" customWidth="1"/>
    <col min="5648" max="5648" width="4.7109375" customWidth="1"/>
    <col min="5653" max="5653" width="6" customWidth="1"/>
    <col min="5654" max="5654" width="4" customWidth="1"/>
    <col min="5660" max="5660" width="11" customWidth="1"/>
    <col min="5889" max="5889" width="3.5703125" customWidth="1"/>
    <col min="5894" max="5894" width="8.140625" customWidth="1"/>
    <col min="5895" max="5895" width="4" customWidth="1"/>
    <col min="5900" max="5900" width="6" customWidth="1"/>
    <col min="5901" max="5903" width="1.5703125" customWidth="1"/>
    <col min="5904" max="5904" width="4.7109375" customWidth="1"/>
    <col min="5909" max="5909" width="6" customWidth="1"/>
    <col min="5910" max="5910" width="4" customWidth="1"/>
    <col min="5916" max="5916" width="11" customWidth="1"/>
    <col min="6145" max="6145" width="3.5703125" customWidth="1"/>
    <col min="6150" max="6150" width="8.140625" customWidth="1"/>
    <col min="6151" max="6151" width="4" customWidth="1"/>
    <col min="6156" max="6156" width="6" customWidth="1"/>
    <col min="6157" max="6159" width="1.5703125" customWidth="1"/>
    <col min="6160" max="6160" width="4.7109375" customWidth="1"/>
    <col min="6165" max="6165" width="6" customWidth="1"/>
    <col min="6166" max="6166" width="4" customWidth="1"/>
    <col min="6172" max="6172" width="11" customWidth="1"/>
    <col min="6401" max="6401" width="3.5703125" customWidth="1"/>
    <col min="6406" max="6406" width="8.140625" customWidth="1"/>
    <col min="6407" max="6407" width="4" customWidth="1"/>
    <col min="6412" max="6412" width="6" customWidth="1"/>
    <col min="6413" max="6415" width="1.5703125" customWidth="1"/>
    <col min="6416" max="6416" width="4.7109375" customWidth="1"/>
    <col min="6421" max="6421" width="6" customWidth="1"/>
    <col min="6422" max="6422" width="4" customWidth="1"/>
    <col min="6428" max="6428" width="11" customWidth="1"/>
    <col min="6657" max="6657" width="3.5703125" customWidth="1"/>
    <col min="6662" max="6662" width="8.140625" customWidth="1"/>
    <col min="6663" max="6663" width="4" customWidth="1"/>
    <col min="6668" max="6668" width="6" customWidth="1"/>
    <col min="6669" max="6671" width="1.5703125" customWidth="1"/>
    <col min="6672" max="6672" width="4.7109375" customWidth="1"/>
    <col min="6677" max="6677" width="6" customWidth="1"/>
    <col min="6678" max="6678" width="4" customWidth="1"/>
    <col min="6684" max="6684" width="11" customWidth="1"/>
    <col min="6913" max="6913" width="3.5703125" customWidth="1"/>
    <col min="6918" max="6918" width="8.140625" customWidth="1"/>
    <col min="6919" max="6919" width="4" customWidth="1"/>
    <col min="6924" max="6924" width="6" customWidth="1"/>
    <col min="6925" max="6927" width="1.5703125" customWidth="1"/>
    <col min="6928" max="6928" width="4.7109375" customWidth="1"/>
    <col min="6933" max="6933" width="6" customWidth="1"/>
    <col min="6934" max="6934" width="4" customWidth="1"/>
    <col min="6940" max="6940" width="11" customWidth="1"/>
    <col min="7169" max="7169" width="3.5703125" customWidth="1"/>
    <col min="7174" max="7174" width="8.140625" customWidth="1"/>
    <col min="7175" max="7175" width="4" customWidth="1"/>
    <col min="7180" max="7180" width="6" customWidth="1"/>
    <col min="7181" max="7183" width="1.5703125" customWidth="1"/>
    <col min="7184" max="7184" width="4.7109375" customWidth="1"/>
    <col min="7189" max="7189" width="6" customWidth="1"/>
    <col min="7190" max="7190" width="4" customWidth="1"/>
    <col min="7196" max="7196" width="11" customWidth="1"/>
    <col min="7425" max="7425" width="3.5703125" customWidth="1"/>
    <col min="7430" max="7430" width="8.140625" customWidth="1"/>
    <col min="7431" max="7431" width="4" customWidth="1"/>
    <col min="7436" max="7436" width="6" customWidth="1"/>
    <col min="7437" max="7439" width="1.5703125" customWidth="1"/>
    <col min="7440" max="7440" width="4.7109375" customWidth="1"/>
    <col min="7445" max="7445" width="6" customWidth="1"/>
    <col min="7446" max="7446" width="4" customWidth="1"/>
    <col min="7452" max="7452" width="11" customWidth="1"/>
    <col min="7681" max="7681" width="3.5703125" customWidth="1"/>
    <col min="7686" max="7686" width="8.140625" customWidth="1"/>
    <col min="7687" max="7687" width="4" customWidth="1"/>
    <col min="7692" max="7692" width="6" customWidth="1"/>
    <col min="7693" max="7695" width="1.5703125" customWidth="1"/>
    <col min="7696" max="7696" width="4.7109375" customWidth="1"/>
    <col min="7701" max="7701" width="6" customWidth="1"/>
    <col min="7702" max="7702" width="4" customWidth="1"/>
    <col min="7708" max="7708" width="11" customWidth="1"/>
    <col min="7937" max="7937" width="3.5703125" customWidth="1"/>
    <col min="7942" max="7942" width="8.140625" customWidth="1"/>
    <col min="7943" max="7943" width="4" customWidth="1"/>
    <col min="7948" max="7948" width="6" customWidth="1"/>
    <col min="7949" max="7951" width="1.5703125" customWidth="1"/>
    <col min="7952" max="7952" width="4.7109375" customWidth="1"/>
    <col min="7957" max="7957" width="6" customWidth="1"/>
    <col min="7958" max="7958" width="4" customWidth="1"/>
    <col min="7964" max="7964" width="11" customWidth="1"/>
    <col min="8193" max="8193" width="3.5703125" customWidth="1"/>
    <col min="8198" max="8198" width="8.140625" customWidth="1"/>
    <col min="8199" max="8199" width="4" customWidth="1"/>
    <col min="8204" max="8204" width="6" customWidth="1"/>
    <col min="8205" max="8207" width="1.5703125" customWidth="1"/>
    <col min="8208" max="8208" width="4.7109375" customWidth="1"/>
    <col min="8213" max="8213" width="6" customWidth="1"/>
    <col min="8214" max="8214" width="4" customWidth="1"/>
    <col min="8220" max="8220" width="11" customWidth="1"/>
    <col min="8449" max="8449" width="3.5703125" customWidth="1"/>
    <col min="8454" max="8454" width="8.140625" customWidth="1"/>
    <col min="8455" max="8455" width="4" customWidth="1"/>
    <col min="8460" max="8460" width="6" customWidth="1"/>
    <col min="8461" max="8463" width="1.5703125" customWidth="1"/>
    <col min="8464" max="8464" width="4.7109375" customWidth="1"/>
    <col min="8469" max="8469" width="6" customWidth="1"/>
    <col min="8470" max="8470" width="4" customWidth="1"/>
    <col min="8476" max="8476" width="11" customWidth="1"/>
    <col min="8705" max="8705" width="3.5703125" customWidth="1"/>
    <col min="8710" max="8710" width="8.140625" customWidth="1"/>
    <col min="8711" max="8711" width="4" customWidth="1"/>
    <col min="8716" max="8716" width="6" customWidth="1"/>
    <col min="8717" max="8719" width="1.5703125" customWidth="1"/>
    <col min="8720" max="8720" width="4.7109375" customWidth="1"/>
    <col min="8725" max="8725" width="6" customWidth="1"/>
    <col min="8726" max="8726" width="4" customWidth="1"/>
    <col min="8732" max="8732" width="11" customWidth="1"/>
    <col min="8961" max="8961" width="3.5703125" customWidth="1"/>
    <col min="8966" max="8966" width="8.140625" customWidth="1"/>
    <col min="8967" max="8967" width="4" customWidth="1"/>
    <col min="8972" max="8972" width="6" customWidth="1"/>
    <col min="8973" max="8975" width="1.5703125" customWidth="1"/>
    <col min="8976" max="8976" width="4.7109375" customWidth="1"/>
    <col min="8981" max="8981" width="6" customWidth="1"/>
    <col min="8982" max="8982" width="4" customWidth="1"/>
    <col min="8988" max="8988" width="11" customWidth="1"/>
    <col min="9217" max="9217" width="3.5703125" customWidth="1"/>
    <col min="9222" max="9222" width="8.140625" customWidth="1"/>
    <col min="9223" max="9223" width="4" customWidth="1"/>
    <col min="9228" max="9228" width="6" customWidth="1"/>
    <col min="9229" max="9231" width="1.5703125" customWidth="1"/>
    <col min="9232" max="9232" width="4.7109375" customWidth="1"/>
    <col min="9237" max="9237" width="6" customWidth="1"/>
    <col min="9238" max="9238" width="4" customWidth="1"/>
    <col min="9244" max="9244" width="11" customWidth="1"/>
    <col min="9473" max="9473" width="3.5703125" customWidth="1"/>
    <col min="9478" max="9478" width="8.140625" customWidth="1"/>
    <col min="9479" max="9479" width="4" customWidth="1"/>
    <col min="9484" max="9484" width="6" customWidth="1"/>
    <col min="9485" max="9487" width="1.5703125" customWidth="1"/>
    <col min="9488" max="9488" width="4.7109375" customWidth="1"/>
    <col min="9493" max="9493" width="6" customWidth="1"/>
    <col min="9494" max="9494" width="4" customWidth="1"/>
    <col min="9500" max="9500" width="11" customWidth="1"/>
    <col min="9729" max="9729" width="3.5703125" customWidth="1"/>
    <col min="9734" max="9734" width="8.140625" customWidth="1"/>
    <col min="9735" max="9735" width="4" customWidth="1"/>
    <col min="9740" max="9740" width="6" customWidth="1"/>
    <col min="9741" max="9743" width="1.5703125" customWidth="1"/>
    <col min="9744" max="9744" width="4.7109375" customWidth="1"/>
    <col min="9749" max="9749" width="6" customWidth="1"/>
    <col min="9750" max="9750" width="4" customWidth="1"/>
    <col min="9756" max="9756" width="11" customWidth="1"/>
    <col min="9985" max="9985" width="3.5703125" customWidth="1"/>
    <col min="9990" max="9990" width="8.140625" customWidth="1"/>
    <col min="9991" max="9991" width="4" customWidth="1"/>
    <col min="9996" max="9996" width="6" customWidth="1"/>
    <col min="9997" max="9999" width="1.5703125" customWidth="1"/>
    <col min="10000" max="10000" width="4.7109375" customWidth="1"/>
    <col min="10005" max="10005" width="6" customWidth="1"/>
    <col min="10006" max="10006" width="4" customWidth="1"/>
    <col min="10012" max="10012" width="11" customWidth="1"/>
    <col min="10241" max="10241" width="3.5703125" customWidth="1"/>
    <col min="10246" max="10246" width="8.140625" customWidth="1"/>
    <col min="10247" max="10247" width="4" customWidth="1"/>
    <col min="10252" max="10252" width="6" customWidth="1"/>
    <col min="10253" max="10255" width="1.5703125" customWidth="1"/>
    <col min="10256" max="10256" width="4.7109375" customWidth="1"/>
    <col min="10261" max="10261" width="6" customWidth="1"/>
    <col min="10262" max="10262" width="4" customWidth="1"/>
    <col min="10268" max="10268" width="11" customWidth="1"/>
    <col min="10497" max="10497" width="3.5703125" customWidth="1"/>
    <col min="10502" max="10502" width="8.140625" customWidth="1"/>
    <col min="10503" max="10503" width="4" customWidth="1"/>
    <col min="10508" max="10508" width="6" customWidth="1"/>
    <col min="10509" max="10511" width="1.5703125" customWidth="1"/>
    <col min="10512" max="10512" width="4.7109375" customWidth="1"/>
    <col min="10517" max="10517" width="6" customWidth="1"/>
    <col min="10518" max="10518" width="4" customWidth="1"/>
    <col min="10524" max="10524" width="11" customWidth="1"/>
    <col min="10753" max="10753" width="3.5703125" customWidth="1"/>
    <col min="10758" max="10758" width="8.140625" customWidth="1"/>
    <col min="10759" max="10759" width="4" customWidth="1"/>
    <col min="10764" max="10764" width="6" customWidth="1"/>
    <col min="10765" max="10767" width="1.5703125" customWidth="1"/>
    <col min="10768" max="10768" width="4.7109375" customWidth="1"/>
    <col min="10773" max="10773" width="6" customWidth="1"/>
    <col min="10774" max="10774" width="4" customWidth="1"/>
    <col min="10780" max="10780" width="11" customWidth="1"/>
    <col min="11009" max="11009" width="3.5703125" customWidth="1"/>
    <col min="11014" max="11014" width="8.140625" customWidth="1"/>
    <col min="11015" max="11015" width="4" customWidth="1"/>
    <col min="11020" max="11020" width="6" customWidth="1"/>
    <col min="11021" max="11023" width="1.5703125" customWidth="1"/>
    <col min="11024" max="11024" width="4.7109375" customWidth="1"/>
    <col min="11029" max="11029" width="6" customWidth="1"/>
    <col min="11030" max="11030" width="4" customWidth="1"/>
    <col min="11036" max="11036" width="11" customWidth="1"/>
    <col min="11265" max="11265" width="3.5703125" customWidth="1"/>
    <col min="11270" max="11270" width="8.140625" customWidth="1"/>
    <col min="11271" max="11271" width="4" customWidth="1"/>
    <col min="11276" max="11276" width="6" customWidth="1"/>
    <col min="11277" max="11279" width="1.5703125" customWidth="1"/>
    <col min="11280" max="11280" width="4.7109375" customWidth="1"/>
    <col min="11285" max="11285" width="6" customWidth="1"/>
    <col min="11286" max="11286" width="4" customWidth="1"/>
    <col min="11292" max="11292" width="11" customWidth="1"/>
    <col min="11521" max="11521" width="3.5703125" customWidth="1"/>
    <col min="11526" max="11526" width="8.140625" customWidth="1"/>
    <col min="11527" max="11527" width="4" customWidth="1"/>
    <col min="11532" max="11532" width="6" customWidth="1"/>
    <col min="11533" max="11535" width="1.5703125" customWidth="1"/>
    <col min="11536" max="11536" width="4.7109375" customWidth="1"/>
    <col min="11541" max="11541" width="6" customWidth="1"/>
    <col min="11542" max="11542" width="4" customWidth="1"/>
    <col min="11548" max="11548" width="11" customWidth="1"/>
    <col min="11777" max="11777" width="3.5703125" customWidth="1"/>
    <col min="11782" max="11782" width="8.140625" customWidth="1"/>
    <col min="11783" max="11783" width="4" customWidth="1"/>
    <col min="11788" max="11788" width="6" customWidth="1"/>
    <col min="11789" max="11791" width="1.5703125" customWidth="1"/>
    <col min="11792" max="11792" width="4.7109375" customWidth="1"/>
    <col min="11797" max="11797" width="6" customWidth="1"/>
    <col min="11798" max="11798" width="4" customWidth="1"/>
    <col min="11804" max="11804" width="11" customWidth="1"/>
    <col min="12033" max="12033" width="3.5703125" customWidth="1"/>
    <col min="12038" max="12038" width="8.140625" customWidth="1"/>
    <col min="12039" max="12039" width="4" customWidth="1"/>
    <col min="12044" max="12044" width="6" customWidth="1"/>
    <col min="12045" max="12047" width="1.5703125" customWidth="1"/>
    <col min="12048" max="12048" width="4.7109375" customWidth="1"/>
    <col min="12053" max="12053" width="6" customWidth="1"/>
    <col min="12054" max="12054" width="4" customWidth="1"/>
    <col min="12060" max="12060" width="11" customWidth="1"/>
    <col min="12289" max="12289" width="3.5703125" customWidth="1"/>
    <col min="12294" max="12294" width="8.140625" customWidth="1"/>
    <col min="12295" max="12295" width="4" customWidth="1"/>
    <col min="12300" max="12300" width="6" customWidth="1"/>
    <col min="12301" max="12303" width="1.5703125" customWidth="1"/>
    <col min="12304" max="12304" width="4.7109375" customWidth="1"/>
    <col min="12309" max="12309" width="6" customWidth="1"/>
    <col min="12310" max="12310" width="4" customWidth="1"/>
    <col min="12316" max="12316" width="11" customWidth="1"/>
    <col min="12545" max="12545" width="3.5703125" customWidth="1"/>
    <col min="12550" max="12550" width="8.140625" customWidth="1"/>
    <col min="12551" max="12551" width="4" customWidth="1"/>
    <col min="12556" max="12556" width="6" customWidth="1"/>
    <col min="12557" max="12559" width="1.5703125" customWidth="1"/>
    <col min="12560" max="12560" width="4.7109375" customWidth="1"/>
    <col min="12565" max="12565" width="6" customWidth="1"/>
    <col min="12566" max="12566" width="4" customWidth="1"/>
    <col min="12572" max="12572" width="11" customWidth="1"/>
    <col min="12801" max="12801" width="3.5703125" customWidth="1"/>
    <col min="12806" max="12806" width="8.140625" customWidth="1"/>
    <col min="12807" max="12807" width="4" customWidth="1"/>
    <col min="12812" max="12812" width="6" customWidth="1"/>
    <col min="12813" max="12815" width="1.5703125" customWidth="1"/>
    <col min="12816" max="12816" width="4.7109375" customWidth="1"/>
    <col min="12821" max="12821" width="6" customWidth="1"/>
    <col min="12822" max="12822" width="4" customWidth="1"/>
    <col min="12828" max="12828" width="11" customWidth="1"/>
    <col min="13057" max="13057" width="3.5703125" customWidth="1"/>
    <col min="13062" max="13062" width="8.140625" customWidth="1"/>
    <col min="13063" max="13063" width="4" customWidth="1"/>
    <col min="13068" max="13068" width="6" customWidth="1"/>
    <col min="13069" max="13071" width="1.5703125" customWidth="1"/>
    <col min="13072" max="13072" width="4.7109375" customWidth="1"/>
    <col min="13077" max="13077" width="6" customWidth="1"/>
    <col min="13078" max="13078" width="4" customWidth="1"/>
    <col min="13084" max="13084" width="11" customWidth="1"/>
    <col min="13313" max="13313" width="3.5703125" customWidth="1"/>
    <col min="13318" max="13318" width="8.140625" customWidth="1"/>
    <col min="13319" max="13319" width="4" customWidth="1"/>
    <col min="13324" max="13324" width="6" customWidth="1"/>
    <col min="13325" max="13327" width="1.5703125" customWidth="1"/>
    <col min="13328" max="13328" width="4.7109375" customWidth="1"/>
    <col min="13333" max="13333" width="6" customWidth="1"/>
    <col min="13334" max="13334" width="4" customWidth="1"/>
    <col min="13340" max="13340" width="11" customWidth="1"/>
    <col min="13569" max="13569" width="3.5703125" customWidth="1"/>
    <col min="13574" max="13574" width="8.140625" customWidth="1"/>
    <col min="13575" max="13575" width="4" customWidth="1"/>
    <col min="13580" max="13580" width="6" customWidth="1"/>
    <col min="13581" max="13583" width="1.5703125" customWidth="1"/>
    <col min="13584" max="13584" width="4.7109375" customWidth="1"/>
    <col min="13589" max="13589" width="6" customWidth="1"/>
    <col min="13590" max="13590" width="4" customWidth="1"/>
    <col min="13596" max="13596" width="11" customWidth="1"/>
    <col min="13825" max="13825" width="3.5703125" customWidth="1"/>
    <col min="13830" max="13830" width="8.140625" customWidth="1"/>
    <col min="13831" max="13831" width="4" customWidth="1"/>
    <col min="13836" max="13836" width="6" customWidth="1"/>
    <col min="13837" max="13839" width="1.5703125" customWidth="1"/>
    <col min="13840" max="13840" width="4.7109375" customWidth="1"/>
    <col min="13845" max="13845" width="6" customWidth="1"/>
    <col min="13846" max="13846" width="4" customWidth="1"/>
    <col min="13852" max="13852" width="11" customWidth="1"/>
    <col min="14081" max="14081" width="3.5703125" customWidth="1"/>
    <col min="14086" max="14086" width="8.140625" customWidth="1"/>
    <col min="14087" max="14087" width="4" customWidth="1"/>
    <col min="14092" max="14092" width="6" customWidth="1"/>
    <col min="14093" max="14095" width="1.5703125" customWidth="1"/>
    <col min="14096" max="14096" width="4.7109375" customWidth="1"/>
    <col min="14101" max="14101" width="6" customWidth="1"/>
    <col min="14102" max="14102" width="4" customWidth="1"/>
    <col min="14108" max="14108" width="11" customWidth="1"/>
    <col min="14337" max="14337" width="3.5703125" customWidth="1"/>
    <col min="14342" max="14342" width="8.140625" customWidth="1"/>
    <col min="14343" max="14343" width="4" customWidth="1"/>
    <col min="14348" max="14348" width="6" customWidth="1"/>
    <col min="14349" max="14351" width="1.5703125" customWidth="1"/>
    <col min="14352" max="14352" width="4.7109375" customWidth="1"/>
    <col min="14357" max="14357" width="6" customWidth="1"/>
    <col min="14358" max="14358" width="4" customWidth="1"/>
    <col min="14364" max="14364" width="11" customWidth="1"/>
    <col min="14593" max="14593" width="3.5703125" customWidth="1"/>
    <col min="14598" max="14598" width="8.140625" customWidth="1"/>
    <col min="14599" max="14599" width="4" customWidth="1"/>
    <col min="14604" max="14604" width="6" customWidth="1"/>
    <col min="14605" max="14607" width="1.5703125" customWidth="1"/>
    <col min="14608" max="14608" width="4.7109375" customWidth="1"/>
    <col min="14613" max="14613" width="6" customWidth="1"/>
    <col min="14614" max="14614" width="4" customWidth="1"/>
    <col min="14620" max="14620" width="11" customWidth="1"/>
    <col min="14849" max="14849" width="3.5703125" customWidth="1"/>
    <col min="14854" max="14854" width="8.140625" customWidth="1"/>
    <col min="14855" max="14855" width="4" customWidth="1"/>
    <col min="14860" max="14860" width="6" customWidth="1"/>
    <col min="14861" max="14863" width="1.5703125" customWidth="1"/>
    <col min="14864" max="14864" width="4.7109375" customWidth="1"/>
    <col min="14869" max="14869" width="6" customWidth="1"/>
    <col min="14870" max="14870" width="4" customWidth="1"/>
    <col min="14876" max="14876" width="11" customWidth="1"/>
    <col min="15105" max="15105" width="3.5703125" customWidth="1"/>
    <col min="15110" max="15110" width="8.140625" customWidth="1"/>
    <col min="15111" max="15111" width="4" customWidth="1"/>
    <col min="15116" max="15116" width="6" customWidth="1"/>
    <col min="15117" max="15119" width="1.5703125" customWidth="1"/>
    <col min="15120" max="15120" width="4.7109375" customWidth="1"/>
    <col min="15125" max="15125" width="6" customWidth="1"/>
    <col min="15126" max="15126" width="4" customWidth="1"/>
    <col min="15132" max="15132" width="11" customWidth="1"/>
    <col min="15361" max="15361" width="3.5703125" customWidth="1"/>
    <col min="15366" max="15366" width="8.140625" customWidth="1"/>
    <col min="15367" max="15367" width="4" customWidth="1"/>
    <col min="15372" max="15372" width="6" customWidth="1"/>
    <col min="15373" max="15375" width="1.5703125" customWidth="1"/>
    <col min="15376" max="15376" width="4.7109375" customWidth="1"/>
    <col min="15381" max="15381" width="6" customWidth="1"/>
    <col min="15382" max="15382" width="4" customWidth="1"/>
    <col min="15388" max="15388" width="11" customWidth="1"/>
    <col min="15617" max="15617" width="3.5703125" customWidth="1"/>
    <col min="15622" max="15622" width="8.140625" customWidth="1"/>
    <col min="15623" max="15623" width="4" customWidth="1"/>
    <col min="15628" max="15628" width="6" customWidth="1"/>
    <col min="15629" max="15631" width="1.5703125" customWidth="1"/>
    <col min="15632" max="15632" width="4.7109375" customWidth="1"/>
    <col min="15637" max="15637" width="6" customWidth="1"/>
    <col min="15638" max="15638" width="4" customWidth="1"/>
    <col min="15644" max="15644" width="11" customWidth="1"/>
    <col min="15873" max="15873" width="3.5703125" customWidth="1"/>
    <col min="15878" max="15878" width="8.140625" customWidth="1"/>
    <col min="15879" max="15879" width="4" customWidth="1"/>
    <col min="15884" max="15884" width="6" customWidth="1"/>
    <col min="15885" max="15887" width="1.5703125" customWidth="1"/>
    <col min="15888" max="15888" width="4.7109375" customWidth="1"/>
    <col min="15893" max="15893" width="6" customWidth="1"/>
    <col min="15894" max="15894" width="4" customWidth="1"/>
    <col min="15900" max="15900" width="11" customWidth="1"/>
    <col min="16129" max="16129" width="3.5703125" customWidth="1"/>
    <col min="16134" max="16134" width="8.140625" customWidth="1"/>
    <col min="16135" max="16135" width="4" customWidth="1"/>
    <col min="16140" max="16140" width="6" customWidth="1"/>
    <col min="16141" max="16143" width="1.5703125" customWidth="1"/>
    <col min="16144" max="16144" width="4.7109375" customWidth="1"/>
    <col min="16149" max="16149" width="6" customWidth="1"/>
    <col min="16150" max="16150" width="4" customWidth="1"/>
    <col min="16156" max="16156" width="11" customWidth="1"/>
  </cols>
  <sheetData>
    <row r="1" spans="2:33" ht="15.75" x14ac:dyDescent="0.25">
      <c r="C1" s="137" t="s">
        <v>124</v>
      </c>
      <c r="H1" s="37"/>
      <c r="J1" s="138"/>
      <c r="K1" s="37"/>
      <c r="L1" s="37"/>
      <c r="M1" s="37"/>
      <c r="O1" s="37"/>
      <c r="P1" s="37"/>
      <c r="R1" s="140" t="s">
        <v>125</v>
      </c>
      <c r="AF1" t="s">
        <v>126</v>
      </c>
    </row>
    <row r="2" spans="2:33" ht="7.5" customHeight="1" x14ac:dyDescent="0.25">
      <c r="H2" s="37"/>
      <c r="I2" s="138"/>
      <c r="J2" s="138"/>
      <c r="K2" s="37"/>
      <c r="L2" s="37"/>
      <c r="M2" s="37"/>
      <c r="O2" s="37"/>
      <c r="P2" s="37"/>
    </row>
    <row r="3" spans="2:33" x14ac:dyDescent="0.25">
      <c r="C3" s="7" t="s">
        <v>127</v>
      </c>
      <c r="D3" s="7"/>
      <c r="I3" s="7" t="s">
        <v>128</v>
      </c>
      <c r="J3" s="7"/>
      <c r="L3" s="37"/>
      <c r="M3" s="37"/>
      <c r="O3" s="37"/>
      <c r="P3" s="37"/>
      <c r="R3" s="7" t="s">
        <v>129</v>
      </c>
      <c r="S3" s="7"/>
      <c r="X3" s="7" t="s">
        <v>130</v>
      </c>
      <c r="Y3" s="7"/>
      <c r="AA3" s="37"/>
      <c r="AF3">
        <v>15</v>
      </c>
      <c r="AG3" t="s">
        <v>131</v>
      </c>
    </row>
    <row r="4" spans="2:33" ht="15.75" thickBot="1" x14ac:dyDescent="0.3">
      <c r="C4" s="141" t="s">
        <v>132</v>
      </c>
      <c r="D4" s="141"/>
      <c r="E4" s="141" t="s">
        <v>133</v>
      </c>
      <c r="F4" s="141"/>
      <c r="I4" s="141" t="s">
        <v>132</v>
      </c>
      <c r="J4" s="141"/>
      <c r="K4" s="141" t="s">
        <v>133</v>
      </c>
      <c r="L4" s="37"/>
      <c r="M4" s="37"/>
      <c r="O4" s="37"/>
      <c r="P4" s="37"/>
      <c r="R4" s="141" t="s">
        <v>132</v>
      </c>
      <c r="S4" s="141"/>
      <c r="T4" s="141" t="s">
        <v>133</v>
      </c>
      <c r="U4" s="141"/>
      <c r="X4" s="141" t="s">
        <v>132</v>
      </c>
      <c r="Y4" s="141"/>
      <c r="Z4" s="141" t="s">
        <v>133</v>
      </c>
      <c r="AA4" s="37"/>
      <c r="AF4">
        <v>20</v>
      </c>
      <c r="AG4" t="s">
        <v>134</v>
      </c>
    </row>
    <row r="5" spans="2:33" x14ac:dyDescent="0.25">
      <c r="B5">
        <v>1</v>
      </c>
      <c r="C5" s="142">
        <v>22</v>
      </c>
      <c r="D5" s="143">
        <v>30</v>
      </c>
      <c r="E5" s="142">
        <v>20</v>
      </c>
      <c r="F5" s="141"/>
      <c r="H5">
        <v>1</v>
      </c>
      <c r="I5" s="144">
        <f>IF(C5="","",IF(C5&lt;=C$26,C5,""))</f>
        <v>22</v>
      </c>
      <c r="J5" s="143">
        <v>30</v>
      </c>
      <c r="K5" s="144" t="str">
        <f>IF(E5="","",IF(E5&lt;=E$26,E5,""))</f>
        <v/>
      </c>
      <c r="L5" s="37"/>
      <c r="M5" s="37"/>
      <c r="O5" s="37"/>
      <c r="P5" s="37"/>
      <c r="Q5">
        <v>1</v>
      </c>
      <c r="R5" s="142">
        <v>19</v>
      </c>
      <c r="S5" s="143">
        <v>30</v>
      </c>
      <c r="T5" s="142">
        <v>9</v>
      </c>
      <c r="U5" s="141"/>
      <c r="W5">
        <v>1</v>
      </c>
      <c r="X5" s="144">
        <f>IF(R5="","",IF(R5&lt;=R$26,R5,""))</f>
        <v>19</v>
      </c>
      <c r="Y5" s="143">
        <v>30</v>
      </c>
      <c r="Z5" s="144">
        <f>IF(T5="","",IF(T5&lt;=T$26,T5,""))</f>
        <v>9</v>
      </c>
      <c r="AA5" s="37"/>
      <c r="AF5">
        <v>25</v>
      </c>
    </row>
    <row r="6" spans="2:33" x14ac:dyDescent="0.25">
      <c r="B6">
        <v>2</v>
      </c>
      <c r="C6" s="145">
        <v>39</v>
      </c>
      <c r="D6" s="143">
        <v>29</v>
      </c>
      <c r="E6" s="145">
        <v>12</v>
      </c>
      <c r="F6" s="141"/>
      <c r="H6">
        <v>2</v>
      </c>
      <c r="I6" s="146" t="str">
        <f>IF(C6="","",IF(C6&lt;=C$26,C6,""))</f>
        <v/>
      </c>
      <c r="J6" s="143">
        <v>29</v>
      </c>
      <c r="K6" s="146">
        <f>IF(E6="","",IF(E6&lt;=E$26,E6,""))</f>
        <v>12</v>
      </c>
      <c r="L6" s="37"/>
      <c r="M6" s="37"/>
      <c r="O6" s="37"/>
      <c r="P6" s="37"/>
      <c r="Q6">
        <v>2</v>
      </c>
      <c r="R6" s="145">
        <v>12</v>
      </c>
      <c r="S6" s="143">
        <v>29</v>
      </c>
      <c r="T6" s="145">
        <v>7</v>
      </c>
      <c r="U6" s="141"/>
      <c r="W6">
        <v>2</v>
      </c>
      <c r="X6" s="146">
        <f>IF(R6="","",IF(R6&lt;=R$26,R6,""))</f>
        <v>12</v>
      </c>
      <c r="Y6" s="143">
        <v>29</v>
      </c>
      <c r="Z6" s="146">
        <f>IF(T6="","",IF(T6&lt;=T$26,T6,""))</f>
        <v>7</v>
      </c>
      <c r="AA6" s="37"/>
      <c r="AF6">
        <v>30</v>
      </c>
    </row>
    <row r="7" spans="2:33" x14ac:dyDescent="0.25">
      <c r="B7">
        <v>3</v>
      </c>
      <c r="C7" s="147">
        <v>18</v>
      </c>
      <c r="D7" s="143">
        <v>28</v>
      </c>
      <c r="E7" s="147">
        <v>14</v>
      </c>
      <c r="F7" s="148"/>
      <c r="H7">
        <v>3</v>
      </c>
      <c r="I7" s="149">
        <f t="shared" ref="I7:K20" si="0">IF(C7="","",IF(C7&lt;=C$26,C7,""))</f>
        <v>18</v>
      </c>
      <c r="J7" s="143">
        <v>28</v>
      </c>
      <c r="K7" s="149" t="str">
        <f t="shared" si="0"/>
        <v/>
      </c>
      <c r="L7" s="37"/>
      <c r="M7" s="37"/>
      <c r="O7" s="37"/>
      <c r="P7" s="37"/>
      <c r="Q7">
        <v>3</v>
      </c>
      <c r="R7" s="147">
        <v>16</v>
      </c>
      <c r="S7" s="143">
        <v>28</v>
      </c>
      <c r="T7" s="147">
        <v>9</v>
      </c>
      <c r="U7" s="141"/>
      <c r="W7">
        <v>3</v>
      </c>
      <c r="X7" s="149">
        <f>IF(R7="","",IF(R7&lt;=R$26,R7,""))</f>
        <v>16</v>
      </c>
      <c r="Y7" s="143">
        <v>28</v>
      </c>
      <c r="Z7" s="149">
        <f>IF(T7="","",IF(T7&lt;=T$26,T7,""))</f>
        <v>9</v>
      </c>
      <c r="AA7" s="37"/>
      <c r="AF7">
        <v>35</v>
      </c>
    </row>
    <row r="8" spans="2:33" x14ac:dyDescent="0.25">
      <c r="B8">
        <v>4</v>
      </c>
      <c r="C8" s="147">
        <v>13</v>
      </c>
      <c r="D8" s="143">
        <v>27</v>
      </c>
      <c r="E8" s="147">
        <v>12</v>
      </c>
      <c r="F8" s="141"/>
      <c r="H8">
        <v>4</v>
      </c>
      <c r="I8" s="149">
        <f t="shared" si="0"/>
        <v>13</v>
      </c>
      <c r="J8" s="143">
        <v>27</v>
      </c>
      <c r="K8" s="149">
        <f t="shared" si="0"/>
        <v>12</v>
      </c>
      <c r="L8" s="37"/>
      <c r="M8" s="37"/>
      <c r="O8" s="37"/>
      <c r="P8" s="37"/>
      <c r="Q8">
        <v>4</v>
      </c>
      <c r="R8" s="147">
        <v>23</v>
      </c>
      <c r="S8" s="143">
        <v>27</v>
      </c>
      <c r="T8" s="147">
        <v>11</v>
      </c>
      <c r="U8" s="141"/>
      <c r="W8">
        <v>4</v>
      </c>
      <c r="X8" s="149" t="str">
        <f t="shared" ref="X8:X18" si="1">IF(R8="","",IF(R8&lt;=R$26,R8,""))</f>
        <v/>
      </c>
      <c r="Y8" s="143">
        <v>27</v>
      </c>
      <c r="Z8" s="149" t="str">
        <f t="shared" ref="Z8:Z18" si="2">IF(T8="","",IF(T8&lt;=T$26,T8,""))</f>
        <v/>
      </c>
      <c r="AA8" s="37"/>
      <c r="AF8">
        <v>40</v>
      </c>
    </row>
    <row r="9" spans="2:33" x14ac:dyDescent="0.25">
      <c r="B9">
        <v>5</v>
      </c>
      <c r="C9" s="147">
        <v>29</v>
      </c>
      <c r="D9" s="143">
        <v>26</v>
      </c>
      <c r="E9" s="147">
        <v>13</v>
      </c>
      <c r="F9" s="141"/>
      <c r="H9">
        <v>5</v>
      </c>
      <c r="I9" s="149" t="str">
        <f t="shared" si="0"/>
        <v/>
      </c>
      <c r="J9" s="143">
        <v>26</v>
      </c>
      <c r="K9" s="149">
        <f t="shared" si="0"/>
        <v>13</v>
      </c>
      <c r="L9" s="37"/>
      <c r="M9" s="37"/>
      <c r="O9" s="37"/>
      <c r="P9" s="37"/>
      <c r="Q9">
        <v>5</v>
      </c>
      <c r="R9" s="147">
        <v>24</v>
      </c>
      <c r="S9" s="143">
        <v>26</v>
      </c>
      <c r="T9" s="147">
        <v>9</v>
      </c>
      <c r="U9" s="141"/>
      <c r="W9">
        <v>5</v>
      </c>
      <c r="X9" s="149" t="str">
        <f t="shared" si="1"/>
        <v/>
      </c>
      <c r="Y9" s="143">
        <v>26</v>
      </c>
      <c r="Z9" s="149">
        <f t="shared" si="2"/>
        <v>9</v>
      </c>
      <c r="AA9" s="37"/>
      <c r="AF9">
        <v>45</v>
      </c>
    </row>
    <row r="10" spans="2:33" x14ac:dyDescent="0.25">
      <c r="B10">
        <v>6</v>
      </c>
      <c r="C10" s="147">
        <v>43</v>
      </c>
      <c r="D10" s="143">
        <v>25</v>
      </c>
      <c r="E10" s="147">
        <v>21</v>
      </c>
      <c r="F10" s="141"/>
      <c r="H10">
        <v>6</v>
      </c>
      <c r="I10" s="149" t="str">
        <f t="shared" si="0"/>
        <v/>
      </c>
      <c r="J10" s="143">
        <v>25</v>
      </c>
      <c r="K10" s="149" t="str">
        <f t="shared" si="0"/>
        <v/>
      </c>
      <c r="L10" s="37"/>
      <c r="M10" s="37"/>
      <c r="O10" s="37"/>
      <c r="P10" s="37"/>
      <c r="Q10">
        <v>6</v>
      </c>
      <c r="R10" s="147">
        <v>24</v>
      </c>
      <c r="S10" s="143">
        <v>25</v>
      </c>
      <c r="T10" s="147">
        <v>13</v>
      </c>
      <c r="U10" s="141"/>
      <c r="W10">
        <v>6</v>
      </c>
      <c r="X10" s="149" t="str">
        <f t="shared" si="1"/>
        <v/>
      </c>
      <c r="Y10" s="143">
        <v>25</v>
      </c>
      <c r="Z10" s="149" t="str">
        <f t="shared" si="2"/>
        <v/>
      </c>
      <c r="AA10" s="37"/>
    </row>
    <row r="11" spans="2:33" x14ac:dyDescent="0.25">
      <c r="B11">
        <v>7</v>
      </c>
      <c r="C11" s="147">
        <v>55</v>
      </c>
      <c r="D11" s="143">
        <v>24</v>
      </c>
      <c r="E11" s="147">
        <v>13</v>
      </c>
      <c r="F11" s="141"/>
      <c r="H11">
        <v>7</v>
      </c>
      <c r="I11" s="149" t="str">
        <f t="shared" si="0"/>
        <v/>
      </c>
      <c r="J11" s="143">
        <v>24</v>
      </c>
      <c r="K11" s="149">
        <f t="shared" si="0"/>
        <v>13</v>
      </c>
      <c r="L11" s="37"/>
      <c r="M11" s="37"/>
      <c r="O11" s="37"/>
      <c r="P11" s="37"/>
      <c r="Q11">
        <v>7</v>
      </c>
      <c r="R11" s="147">
        <v>28</v>
      </c>
      <c r="S11" s="143">
        <v>24</v>
      </c>
      <c r="T11" s="147">
        <v>14</v>
      </c>
      <c r="U11" s="141"/>
      <c r="W11">
        <v>7</v>
      </c>
      <c r="X11" s="149" t="str">
        <f t="shared" si="1"/>
        <v/>
      </c>
      <c r="Y11" s="143">
        <v>24</v>
      </c>
      <c r="Z11" s="149" t="str">
        <f t="shared" si="2"/>
        <v/>
      </c>
      <c r="AA11" s="37"/>
    </row>
    <row r="12" spans="2:33" x14ac:dyDescent="0.25">
      <c r="B12">
        <v>8</v>
      </c>
      <c r="C12" s="147">
        <v>64</v>
      </c>
      <c r="D12" s="143">
        <v>23</v>
      </c>
      <c r="E12" s="147">
        <v>28</v>
      </c>
      <c r="F12" s="141"/>
      <c r="H12">
        <v>8</v>
      </c>
      <c r="I12" s="149" t="str">
        <f t="shared" si="0"/>
        <v/>
      </c>
      <c r="J12" s="143">
        <v>23</v>
      </c>
      <c r="K12" s="149" t="str">
        <f t="shared" si="0"/>
        <v/>
      </c>
      <c r="L12" s="37"/>
      <c r="M12" s="37"/>
      <c r="O12" s="37"/>
      <c r="P12" s="37"/>
      <c r="Q12">
        <v>8</v>
      </c>
      <c r="R12" s="147">
        <v>23</v>
      </c>
      <c r="S12" s="143">
        <v>23</v>
      </c>
      <c r="T12" s="147">
        <v>10</v>
      </c>
      <c r="U12" s="141"/>
      <c r="W12">
        <v>8</v>
      </c>
      <c r="X12" s="149" t="str">
        <f t="shared" si="1"/>
        <v/>
      </c>
      <c r="Y12" s="143">
        <v>23</v>
      </c>
      <c r="Z12" s="149" t="str">
        <f t="shared" si="2"/>
        <v/>
      </c>
      <c r="AA12" s="37"/>
    </row>
    <row r="13" spans="2:33" x14ac:dyDescent="0.25">
      <c r="B13">
        <v>9</v>
      </c>
      <c r="C13" s="147">
        <v>29</v>
      </c>
      <c r="D13" s="143">
        <v>22</v>
      </c>
      <c r="E13" s="147">
        <v>56</v>
      </c>
      <c r="F13" s="141"/>
      <c r="H13">
        <v>9</v>
      </c>
      <c r="I13" s="149" t="str">
        <f t="shared" si="0"/>
        <v/>
      </c>
      <c r="J13" s="143">
        <v>22</v>
      </c>
      <c r="K13" s="149" t="str">
        <f t="shared" si="0"/>
        <v/>
      </c>
      <c r="L13" s="37"/>
      <c r="M13" s="37"/>
      <c r="O13" s="37"/>
      <c r="P13" s="37"/>
      <c r="Q13">
        <v>9</v>
      </c>
      <c r="R13" s="147">
        <v>24</v>
      </c>
      <c r="S13" s="143">
        <v>22</v>
      </c>
      <c r="T13" s="147">
        <v>17</v>
      </c>
      <c r="U13" s="141"/>
      <c r="W13">
        <v>9</v>
      </c>
      <c r="X13" s="149" t="str">
        <f t="shared" si="1"/>
        <v/>
      </c>
      <c r="Y13" s="143">
        <v>22</v>
      </c>
      <c r="Z13" s="149" t="str">
        <f t="shared" si="2"/>
        <v/>
      </c>
      <c r="AA13" s="37"/>
    </row>
    <row r="14" spans="2:33" x14ac:dyDescent="0.25">
      <c r="B14">
        <v>10</v>
      </c>
      <c r="C14" s="147">
        <v>26</v>
      </c>
      <c r="D14" s="143">
        <v>21</v>
      </c>
      <c r="E14" s="147">
        <v>93</v>
      </c>
      <c r="F14" s="141"/>
      <c r="H14">
        <v>10</v>
      </c>
      <c r="I14" s="149" t="str">
        <f t="shared" si="0"/>
        <v/>
      </c>
      <c r="J14" s="143">
        <v>21</v>
      </c>
      <c r="K14" s="149" t="str">
        <f t="shared" si="0"/>
        <v/>
      </c>
      <c r="L14" s="37"/>
      <c r="M14" s="37"/>
      <c r="O14" s="37"/>
      <c r="P14" s="37"/>
      <c r="Q14">
        <v>10</v>
      </c>
      <c r="R14" s="147">
        <v>27</v>
      </c>
      <c r="S14" s="143">
        <v>21</v>
      </c>
      <c r="T14" s="147">
        <v>19</v>
      </c>
      <c r="U14" s="141"/>
      <c r="W14">
        <v>10</v>
      </c>
      <c r="X14" s="149" t="str">
        <f t="shared" si="1"/>
        <v/>
      </c>
      <c r="Y14" s="143">
        <v>21</v>
      </c>
      <c r="Z14" s="149" t="str">
        <f t="shared" si="2"/>
        <v/>
      </c>
      <c r="AA14" s="37"/>
    </row>
    <row r="15" spans="2:33" x14ac:dyDescent="0.25">
      <c r="B15">
        <v>11</v>
      </c>
      <c r="C15" s="147">
        <v>26</v>
      </c>
      <c r="D15" s="143">
        <v>20</v>
      </c>
      <c r="E15" s="147">
        <v>85</v>
      </c>
      <c r="F15" s="141"/>
      <c r="H15">
        <v>11</v>
      </c>
      <c r="I15" s="149" t="str">
        <f t="shared" si="0"/>
        <v/>
      </c>
      <c r="J15" s="143">
        <v>20</v>
      </c>
      <c r="K15" s="149" t="str">
        <f t="shared" si="0"/>
        <v/>
      </c>
      <c r="L15" s="37"/>
      <c r="M15" s="37"/>
      <c r="O15" s="37"/>
      <c r="P15" s="37"/>
      <c r="Q15">
        <v>11</v>
      </c>
      <c r="R15" s="147">
        <v>28</v>
      </c>
      <c r="S15" s="143">
        <v>20</v>
      </c>
      <c r="T15" s="147">
        <v>19</v>
      </c>
      <c r="U15" s="141"/>
      <c r="W15">
        <v>11</v>
      </c>
      <c r="X15" s="149" t="str">
        <f t="shared" si="1"/>
        <v/>
      </c>
      <c r="Y15" s="143">
        <v>20</v>
      </c>
      <c r="Z15" s="149" t="str">
        <f t="shared" si="2"/>
        <v/>
      </c>
      <c r="AA15" s="37"/>
    </row>
    <row r="16" spans="2:33" x14ac:dyDescent="0.25">
      <c r="B16">
        <v>12</v>
      </c>
      <c r="C16" s="147">
        <v>24</v>
      </c>
      <c r="D16" s="143">
        <v>19</v>
      </c>
      <c r="E16" s="147">
        <v>48</v>
      </c>
      <c r="F16" s="141"/>
      <c r="H16">
        <v>12</v>
      </c>
      <c r="I16" s="149">
        <f t="shared" si="0"/>
        <v>24</v>
      </c>
      <c r="J16" s="143">
        <v>19</v>
      </c>
      <c r="K16" s="149" t="str">
        <f t="shared" si="0"/>
        <v/>
      </c>
      <c r="L16" s="37"/>
      <c r="M16" s="37"/>
      <c r="O16" s="37"/>
      <c r="P16" s="37"/>
      <c r="Q16">
        <v>12</v>
      </c>
      <c r="R16" s="147">
        <v>29</v>
      </c>
      <c r="S16" s="143">
        <v>19</v>
      </c>
      <c r="T16" s="147">
        <v>24</v>
      </c>
      <c r="U16" s="141"/>
      <c r="W16">
        <v>12</v>
      </c>
      <c r="X16" s="149" t="str">
        <f t="shared" si="1"/>
        <v/>
      </c>
      <c r="Y16" s="143">
        <v>19</v>
      </c>
      <c r="Z16" s="149" t="str">
        <f t="shared" si="2"/>
        <v/>
      </c>
      <c r="AA16" s="37"/>
    </row>
    <row r="17" spans="1:28" x14ac:dyDescent="0.25">
      <c r="B17">
        <v>13</v>
      </c>
      <c r="C17" s="147">
        <v>24</v>
      </c>
      <c r="D17" s="143">
        <v>18</v>
      </c>
      <c r="E17" s="147">
        <v>40</v>
      </c>
      <c r="F17" s="141"/>
      <c r="H17">
        <v>13</v>
      </c>
      <c r="I17" s="149">
        <f t="shared" si="0"/>
        <v>24</v>
      </c>
      <c r="J17" s="143">
        <v>18</v>
      </c>
      <c r="K17" s="149" t="str">
        <f t="shared" si="0"/>
        <v/>
      </c>
      <c r="L17" s="37"/>
      <c r="M17" s="37"/>
      <c r="O17" s="37"/>
      <c r="P17" s="37"/>
      <c r="Q17">
        <v>13</v>
      </c>
      <c r="R17" s="147">
        <v>18</v>
      </c>
      <c r="S17" s="143">
        <v>18</v>
      </c>
      <c r="T17" s="147">
        <v>18</v>
      </c>
      <c r="U17" s="141"/>
      <c r="W17">
        <v>13</v>
      </c>
      <c r="X17" s="149">
        <f t="shared" si="1"/>
        <v>18</v>
      </c>
      <c r="Y17" s="143">
        <v>18</v>
      </c>
      <c r="Z17" s="149" t="str">
        <f t="shared" si="2"/>
        <v/>
      </c>
      <c r="AA17" s="37"/>
    </row>
    <row r="18" spans="1:28" x14ac:dyDescent="0.25">
      <c r="B18">
        <v>14</v>
      </c>
      <c r="C18" s="147">
        <v>46</v>
      </c>
      <c r="D18" s="143">
        <v>17</v>
      </c>
      <c r="E18" s="147">
        <v>39</v>
      </c>
      <c r="F18" s="141"/>
      <c r="H18">
        <v>14</v>
      </c>
      <c r="I18" s="149" t="str">
        <f t="shared" si="0"/>
        <v/>
      </c>
      <c r="J18" s="143">
        <v>17</v>
      </c>
      <c r="K18" s="149" t="str">
        <f t="shared" si="0"/>
        <v/>
      </c>
      <c r="L18" s="37"/>
      <c r="M18" s="37"/>
      <c r="O18" s="37"/>
      <c r="P18" s="37"/>
      <c r="Q18">
        <v>14</v>
      </c>
      <c r="R18" s="147">
        <v>19</v>
      </c>
      <c r="S18" s="143">
        <v>17</v>
      </c>
      <c r="T18" s="147">
        <v>8</v>
      </c>
      <c r="U18" s="141"/>
      <c r="W18">
        <v>14</v>
      </c>
      <c r="X18" s="149">
        <f t="shared" si="1"/>
        <v>19</v>
      </c>
      <c r="Y18" s="143">
        <v>17</v>
      </c>
      <c r="Z18" s="149">
        <f t="shared" si="2"/>
        <v>8</v>
      </c>
      <c r="AA18" s="37"/>
    </row>
    <row r="19" spans="1:28" ht="15.75" thickBot="1" x14ac:dyDescent="0.3">
      <c r="B19">
        <v>15</v>
      </c>
      <c r="C19" s="150">
        <v>170</v>
      </c>
      <c r="D19" s="143">
        <v>16</v>
      </c>
      <c r="E19" s="150">
        <v>62</v>
      </c>
      <c r="F19" s="141"/>
      <c r="H19">
        <v>15</v>
      </c>
      <c r="I19" s="151" t="str">
        <f t="shared" si="0"/>
        <v/>
      </c>
      <c r="J19" s="143">
        <v>16</v>
      </c>
      <c r="K19" s="151" t="str">
        <f t="shared" si="0"/>
        <v/>
      </c>
      <c r="L19" s="37"/>
      <c r="M19" s="37"/>
      <c r="O19" s="37"/>
      <c r="P19" s="37"/>
      <c r="Q19">
        <v>15</v>
      </c>
      <c r="R19" s="150">
        <v>13</v>
      </c>
      <c r="S19" s="143">
        <v>16</v>
      </c>
      <c r="T19" s="150">
        <v>7</v>
      </c>
      <c r="U19" s="141"/>
      <c r="W19">
        <v>15</v>
      </c>
      <c r="X19" s="151">
        <f>IF(R19="","",IF(R19&lt;=R$26,R19,""))</f>
        <v>13</v>
      </c>
      <c r="Y19" s="143">
        <v>16</v>
      </c>
      <c r="Z19" s="151">
        <f>IF(T19="","",IF(T19&lt;=T$26,T19,""))</f>
        <v>7</v>
      </c>
      <c r="AA19" s="37"/>
    </row>
    <row r="20" spans="1:28" x14ac:dyDescent="0.25">
      <c r="B20" s="13"/>
      <c r="C20" s="152"/>
      <c r="D20" s="152"/>
      <c r="E20" s="152"/>
      <c r="F20" s="141" t="str">
        <f>IF(E20="","",C20-E20)</f>
        <v/>
      </c>
      <c r="H20" s="37"/>
      <c r="I20" s="153" t="str">
        <f t="shared" si="0"/>
        <v/>
      </c>
      <c r="J20" s="153"/>
      <c r="K20" s="154"/>
      <c r="L20" s="37"/>
      <c r="M20" s="37"/>
      <c r="O20" s="37"/>
      <c r="P20" s="37"/>
      <c r="Q20" s="13"/>
      <c r="R20" s="152"/>
      <c r="S20" s="152"/>
      <c r="T20" s="152"/>
      <c r="U20" s="141" t="str">
        <f>IF(T20="","",R20-T20)</f>
        <v/>
      </c>
      <c r="W20" s="37"/>
      <c r="X20" s="153"/>
      <c r="Y20" s="153"/>
      <c r="Z20" s="154"/>
      <c r="AA20" s="37"/>
    </row>
    <row r="21" spans="1:28" x14ac:dyDescent="0.25">
      <c r="B21" s="155" t="s">
        <v>135</v>
      </c>
      <c r="C21" s="156">
        <v>20</v>
      </c>
      <c r="D21" s="153" t="s">
        <v>126</v>
      </c>
      <c r="E21" s="152"/>
      <c r="F21" s="141" t="str">
        <f>IF(E21="","",C21-E21)</f>
        <v/>
      </c>
      <c r="G21" s="69"/>
      <c r="H21" s="61" t="s">
        <v>136</v>
      </c>
      <c r="I21" s="156">
        <v>4.5</v>
      </c>
      <c r="J21" s="157" t="s">
        <v>35</v>
      </c>
      <c r="K21" s="154"/>
      <c r="L21" s="37"/>
      <c r="M21" s="37"/>
      <c r="O21" s="37"/>
      <c r="P21" s="37"/>
      <c r="Q21" s="155" t="s">
        <v>135</v>
      </c>
      <c r="R21" s="156">
        <v>20</v>
      </c>
      <c r="S21" s="153" t="s">
        <v>126</v>
      </c>
      <c r="T21" s="152"/>
      <c r="U21" s="141" t="str">
        <f>IF(T21="","",R21-T21)</f>
        <v/>
      </c>
      <c r="V21" s="69"/>
      <c r="W21" s="61"/>
      <c r="X21" s="152"/>
      <c r="Y21" s="153"/>
      <c r="Z21" s="154"/>
      <c r="AA21" s="37"/>
    </row>
    <row r="22" spans="1:28" x14ac:dyDescent="0.25">
      <c r="A22" s="158"/>
      <c r="B22" s="159" t="s">
        <v>137</v>
      </c>
      <c r="C22" s="160" t="s">
        <v>131</v>
      </c>
      <c r="D22" s="153"/>
      <c r="E22" s="152"/>
      <c r="F22" s="141"/>
      <c r="G22" s="69"/>
      <c r="H22" s="61" t="s">
        <v>138</v>
      </c>
      <c r="I22" s="161">
        <f>PI()*(I21/2)^2</f>
        <v>15.904312808798327</v>
      </c>
      <c r="J22" s="157" t="s">
        <v>139</v>
      </c>
      <c r="K22" s="154"/>
      <c r="L22" s="37"/>
      <c r="M22" s="37"/>
      <c r="O22" s="37"/>
      <c r="P22" s="162"/>
      <c r="Q22" s="159" t="s">
        <v>137</v>
      </c>
      <c r="R22" s="160" t="s">
        <v>134</v>
      </c>
      <c r="S22" s="153"/>
      <c r="T22" s="152"/>
      <c r="U22" s="141"/>
      <c r="V22" s="69"/>
      <c r="W22" s="61"/>
      <c r="X22" s="163"/>
      <c r="Y22" s="153"/>
      <c r="Z22" s="154"/>
      <c r="AA22" s="37"/>
    </row>
    <row r="23" spans="1:28" x14ac:dyDescent="0.25">
      <c r="B23" s="13"/>
      <c r="C23" s="152"/>
      <c r="D23" s="152"/>
      <c r="E23" s="152"/>
      <c r="F23" s="141" t="str">
        <f>IF(E23="","",C23-E23)</f>
        <v/>
      </c>
      <c r="H23" s="37"/>
      <c r="I23" s="153"/>
      <c r="J23" s="153"/>
      <c r="K23" s="154"/>
      <c r="L23" s="37"/>
      <c r="M23" s="37"/>
      <c r="O23" s="37"/>
      <c r="P23" s="37"/>
      <c r="Q23" s="13"/>
      <c r="R23" s="152"/>
      <c r="S23" s="152"/>
      <c r="T23" s="152"/>
      <c r="U23" s="141" t="str">
        <f>IF(T23="","",R23-T23)</f>
        <v/>
      </c>
      <c r="W23" s="37"/>
      <c r="X23" s="153"/>
      <c r="Y23" s="153"/>
      <c r="Z23" s="154"/>
      <c r="AA23" s="37"/>
    </row>
    <row r="24" spans="1:28" x14ac:dyDescent="0.25">
      <c r="B24" s="23" t="s">
        <v>140</v>
      </c>
      <c r="C24" s="164">
        <f>IF($C$22=$AG$3,AVERAGE(C5:C19),AVERAGE(C7:C19))</f>
        <v>41.866666666666667</v>
      </c>
      <c r="D24" s="164"/>
      <c r="E24" s="164">
        <f>IF($C$22=$AG$3,AVERAGE(E5:E19),AVERAGE(E7:E19))</f>
        <v>37.06666666666667</v>
      </c>
      <c r="F24" s="164">
        <f>IF($C$22=$AG$3,AVERAGE(C5:C19,E5:E19),AVERAGE(C7:C19,E7:E19))</f>
        <v>39.466666666666669</v>
      </c>
      <c r="H24" s="23" t="s">
        <v>140</v>
      </c>
      <c r="I24" s="164">
        <f>IF($C$22=$AG$3,AVERAGE(I5:I19),AVERAGE(I7:I19))</f>
        <v>20.2</v>
      </c>
      <c r="J24" s="164"/>
      <c r="K24" s="164">
        <f>IF($C$22=$AG$3,AVERAGE(K5:K19),AVERAGE(K7:K19))</f>
        <v>12.5</v>
      </c>
      <c r="L24" s="164">
        <f>IF($C$22=$AG$3,AVERAGE(I5:I19,K5:K19),AVERAGE(I7:I19,K7:K19))</f>
        <v>16.777777777777779</v>
      </c>
      <c r="M24" s="165"/>
      <c r="N24" s="166"/>
      <c r="O24" s="165"/>
      <c r="P24" s="165"/>
      <c r="Q24" s="23" t="s">
        <v>140</v>
      </c>
      <c r="R24" s="164">
        <f>IF($R$22=$AG$3,AVERAGE(R5:R19),AVERAGE(R7:R19))</f>
        <v>22.76923076923077</v>
      </c>
      <c r="S24" s="164"/>
      <c r="T24" s="164">
        <f>IF($R$22=$AG$3,AVERAGE(T5:T19),AVERAGE(T7:T19))</f>
        <v>13.692307692307692</v>
      </c>
      <c r="U24" s="164">
        <f>IF($R$22=$AG$3,AVERAGE(R5:R19,T5:T19),AVERAGE(R7:R19,T7:T19))</f>
        <v>18.23076923076923</v>
      </c>
      <c r="W24" s="23" t="s">
        <v>140</v>
      </c>
      <c r="X24" s="164">
        <f>IF($R$22=$AG$3,AVERAGE(X5:X19),AVERAGE(X7:X19))</f>
        <v>16.5</v>
      </c>
      <c r="Y24" s="164"/>
      <c r="Z24" s="164">
        <f>IF($R$22=$AG$3,AVERAGE(Z5:Z19),AVERAGE(Z7:Z19))</f>
        <v>8.25</v>
      </c>
      <c r="AA24" s="164">
        <f>IF($R$22=$AG$3,AVERAGE(X5:X19,Z5:Z19),AVERAGE(X7:X19,Z7:Z19))</f>
        <v>12.375</v>
      </c>
    </row>
    <row r="25" spans="1:28" x14ac:dyDescent="0.25">
      <c r="B25" s="23"/>
      <c r="C25" s="167"/>
      <c r="D25" s="167"/>
      <c r="E25" s="167"/>
      <c r="F25" s="167"/>
      <c r="H25" s="23"/>
      <c r="I25" s="167"/>
      <c r="J25" s="167"/>
      <c r="K25" s="167"/>
      <c r="L25" s="167"/>
      <c r="M25" s="168"/>
      <c r="N25" s="169"/>
      <c r="O25" s="168"/>
      <c r="P25" s="168"/>
      <c r="Q25" s="23"/>
      <c r="R25" s="167"/>
      <c r="S25" s="167"/>
      <c r="T25" s="167"/>
      <c r="U25" s="167"/>
      <c r="W25" s="23"/>
      <c r="X25" s="167"/>
      <c r="Y25" s="167"/>
      <c r="Z25" s="167"/>
      <c r="AA25" s="167"/>
      <c r="AB25" s="37"/>
    </row>
    <row r="26" spans="1:28" x14ac:dyDescent="0.25">
      <c r="B26" s="23" t="s">
        <v>141</v>
      </c>
      <c r="C26" s="170">
        <f>IF($C$22=$AG$3,QUARTILE(C5:C19,1),QUARTILE(C7:C19,1))</f>
        <v>24</v>
      </c>
      <c r="D26" s="170"/>
      <c r="E26" s="170">
        <f>IF($C$22=$AG$3,QUARTILE(E5:E19,1),QUARTILE(E7:E19,1))</f>
        <v>13.5</v>
      </c>
      <c r="F26" s="170"/>
      <c r="H26" s="23"/>
      <c r="I26" s="170"/>
      <c r="J26" s="170"/>
      <c r="K26" s="170"/>
      <c r="L26" s="170"/>
      <c r="M26" s="168"/>
      <c r="N26" s="169"/>
      <c r="O26" s="168"/>
      <c r="P26" s="168"/>
      <c r="Q26" s="23" t="s">
        <v>141</v>
      </c>
      <c r="R26" s="170">
        <f>IF($R$22=$AG$3,QUARTILE(R5:R19,1),QUARTILE(R7:R19,1))</f>
        <v>19</v>
      </c>
      <c r="S26" s="170"/>
      <c r="T26" s="170">
        <f>IF($R$22=$AG$3,QUARTILE(T5:T19,1),QUARTILE(T7:T19,1))</f>
        <v>9</v>
      </c>
      <c r="U26" s="170"/>
      <c r="W26" s="23"/>
      <c r="X26" s="170"/>
      <c r="Y26" s="170"/>
      <c r="Z26" s="170"/>
      <c r="AA26" s="170"/>
      <c r="AB26" s="171"/>
    </row>
    <row r="27" spans="1:28" x14ac:dyDescent="0.25">
      <c r="B27" s="23" t="s">
        <v>142</v>
      </c>
      <c r="C27" s="170">
        <f>COUNT(C5:C19)</f>
        <v>15</v>
      </c>
      <c r="D27" s="170"/>
      <c r="E27" s="170">
        <f>COUNT(E5:E19)</f>
        <v>15</v>
      </c>
      <c r="F27" s="170"/>
      <c r="H27" s="23" t="s">
        <v>142</v>
      </c>
      <c r="I27" s="170">
        <f>COUNT(I5:I19)</f>
        <v>5</v>
      </c>
      <c r="J27" s="170"/>
      <c r="K27" s="170">
        <f>COUNT(K5:K19)</f>
        <v>4</v>
      </c>
      <c r="L27" s="170"/>
      <c r="M27" s="168"/>
      <c r="N27" s="169"/>
      <c r="O27" s="168"/>
      <c r="P27" s="168"/>
      <c r="Q27" s="23" t="s">
        <v>142</v>
      </c>
      <c r="R27" s="170">
        <f>COUNT(R5:R19)</f>
        <v>15</v>
      </c>
      <c r="S27" s="170"/>
      <c r="T27" s="170">
        <f>COUNT(T5:T19)</f>
        <v>15</v>
      </c>
      <c r="U27" s="170"/>
      <c r="W27" s="23" t="s">
        <v>142</v>
      </c>
      <c r="X27" s="170">
        <f>COUNT(X5:X19)</f>
        <v>6</v>
      </c>
      <c r="Y27" s="170"/>
      <c r="Z27" s="170">
        <f>COUNT(Z5:Z19)</f>
        <v>6</v>
      </c>
      <c r="AA27" s="170"/>
      <c r="AB27" s="172"/>
    </row>
    <row r="28" spans="1:28" x14ac:dyDescent="0.25">
      <c r="B28" s="23" t="s">
        <v>143</v>
      </c>
      <c r="C28" s="170">
        <f>C24*60/$C$21*mm_in3/CanSA</f>
        <v>0.48191847821692768</v>
      </c>
      <c r="D28" s="168" t="s">
        <v>144</v>
      </c>
      <c r="E28" s="170">
        <f>E24*60/$C$21*mm_in3/CanSA</f>
        <v>0.42666667816657933</v>
      </c>
      <c r="F28" s="170">
        <f>F24*60/$C$21*mm_in3/CanSA</f>
        <v>0.4542925781917535</v>
      </c>
      <c r="H28" s="61"/>
      <c r="I28" s="154"/>
      <c r="J28" s="154"/>
      <c r="K28" s="154"/>
      <c r="L28" s="37"/>
      <c r="M28" s="37"/>
      <c r="O28" s="37"/>
      <c r="P28" s="37"/>
      <c r="Q28" s="23" t="s">
        <v>143</v>
      </c>
      <c r="R28" s="170">
        <f>R24*60/$R$21*mm_in3/CanSA</f>
        <v>0.26209187203370393</v>
      </c>
      <c r="S28" s="168" t="s">
        <v>144</v>
      </c>
      <c r="T28" s="170">
        <f>T24*60/$R$21*mm_in3/CanSA</f>
        <v>0.15760930142567331</v>
      </c>
      <c r="U28" s="170">
        <f>U24*60/$R$21*mm_in3/CanSA</f>
        <v>0.20985058672968862</v>
      </c>
      <c r="W28" s="61"/>
      <c r="X28" s="154"/>
      <c r="Y28" s="154"/>
      <c r="Z28" s="154"/>
      <c r="AA28" s="37"/>
      <c r="AB28" s="172"/>
    </row>
    <row r="29" spans="1:28" x14ac:dyDescent="0.25">
      <c r="B29" s="23" t="s">
        <v>145</v>
      </c>
      <c r="C29" s="173">
        <f>I24/C24</f>
        <v>0.48248407643312102</v>
      </c>
      <c r="D29" s="173"/>
      <c r="E29" s="173">
        <f>K24/E24</f>
        <v>0.33723021582733809</v>
      </c>
      <c r="F29" s="174">
        <f>L24/F24</f>
        <v>0.42511261261261263</v>
      </c>
      <c r="H29" s="61"/>
      <c r="I29" s="154"/>
      <c r="J29" s="154"/>
      <c r="K29" s="154"/>
      <c r="L29" s="37"/>
      <c r="M29" s="37"/>
      <c r="O29" s="37"/>
      <c r="P29" s="37"/>
      <c r="Q29" s="23" t="s">
        <v>145</v>
      </c>
      <c r="R29" s="173">
        <f>X24/R24</f>
        <v>0.72466216216216217</v>
      </c>
      <c r="S29" s="173"/>
      <c r="T29" s="173">
        <f>Z24/T24</f>
        <v>0.60252808988764051</v>
      </c>
      <c r="U29" s="174">
        <f>AA24/U24</f>
        <v>0.67879746835443044</v>
      </c>
      <c r="W29" s="61"/>
      <c r="X29" s="154"/>
      <c r="Y29" s="154"/>
      <c r="Z29" s="154"/>
      <c r="AA29" s="37"/>
      <c r="AB29" s="37"/>
    </row>
    <row r="30" spans="1:28" x14ac:dyDescent="0.25">
      <c r="B30" s="23"/>
      <c r="C30" s="141"/>
      <c r="D30" s="141"/>
      <c r="E30" s="141"/>
      <c r="F30" s="141"/>
      <c r="Q30" s="23"/>
      <c r="R30" s="141"/>
      <c r="S30" s="141"/>
      <c r="T30" s="141"/>
      <c r="U30" s="141"/>
    </row>
    <row r="31" spans="1:28" x14ac:dyDescent="0.25">
      <c r="A31" s="175"/>
      <c r="C31" s="176"/>
      <c r="D31" s="176"/>
      <c r="E31" s="177" t="s">
        <v>146</v>
      </c>
      <c r="F31" s="178">
        <f>AVERAGE(IF(C22=AG3,C5:C19,C7:C19),IF(C22=AG3,E5:E19,E7:E19),IF(R22=AG3,R5:R19,R7:R19),IF(R22=AG3,T5:T19,T7:T19))</f>
        <v>29.607142857142858</v>
      </c>
      <c r="Q31" s="37"/>
      <c r="R31" s="179"/>
      <c r="S31" s="179"/>
      <c r="T31" s="180"/>
    </row>
    <row r="32" spans="1:28" x14ac:dyDescent="0.25">
      <c r="A32" s="23"/>
      <c r="C32" s="176"/>
      <c r="D32" s="176"/>
      <c r="E32" s="177" t="s">
        <v>147</v>
      </c>
      <c r="F32" s="178">
        <f>AVERAGE(IF(C22=AG3,I5:I19,I7:I19),IF(C22=AG3,K5:K19,K7:K19),IF(R22=AG3,X5:X19,X7:X19),IF(R22=AG3,Z5:Z19,Z7:Z19))</f>
        <v>14.705882352941176</v>
      </c>
      <c r="S32" s="181"/>
      <c r="T32" s="37"/>
    </row>
    <row r="33" spans="1:7" x14ac:dyDescent="0.25">
      <c r="A33" s="23"/>
      <c r="B33" s="23"/>
      <c r="C33" s="176"/>
      <c r="D33" s="176"/>
      <c r="E33" s="182" t="s">
        <v>67</v>
      </c>
      <c r="F33" s="174">
        <f>F32/F31</f>
        <v>0.49670048960476831</v>
      </c>
    </row>
    <row r="34" spans="1:7" x14ac:dyDescent="0.25">
      <c r="E34" s="95" t="s">
        <v>143</v>
      </c>
      <c r="F34" s="164">
        <f>AVERAGE(F28,U28)</f>
        <v>0.33207158246072105</v>
      </c>
      <c r="G34" t="s">
        <v>148</v>
      </c>
    </row>
    <row r="35" spans="1:7" x14ac:dyDescent="0.25">
      <c r="E35" s="23" t="s">
        <v>149</v>
      </c>
      <c r="F35" s="183">
        <f>VAR(C28,E28,R28,T28)</f>
        <v>2.2245523891591013E-2</v>
      </c>
    </row>
    <row r="36" spans="1:7" x14ac:dyDescent="0.25">
      <c r="E36" s="23" t="s">
        <v>150</v>
      </c>
      <c r="F36" s="173">
        <f>VAR(F28,U28)</f>
        <v>2.9875943594970145E-2</v>
      </c>
    </row>
    <row r="53" spans="2:6" x14ac:dyDescent="0.25">
      <c r="C53" t="s">
        <v>151</v>
      </c>
      <c r="E53" t="s">
        <v>152</v>
      </c>
      <c r="F53" t="s">
        <v>153</v>
      </c>
    </row>
    <row r="54" spans="2:6" x14ac:dyDescent="0.25">
      <c r="C54" t="str">
        <f t="shared" ref="C54:C63" si="3">IF(I5="","",IF(I5&lt;C$27,I5,""))</f>
        <v/>
      </c>
      <c r="E54" t="str">
        <f t="shared" ref="E54:F63" si="4">IF(J5="","",IF(J5&lt;E$27,J5,""))</f>
        <v/>
      </c>
      <c r="F54" t="str">
        <f t="shared" si="4"/>
        <v/>
      </c>
    </row>
    <row r="55" spans="2:6" x14ac:dyDescent="0.25">
      <c r="C55" t="str">
        <f t="shared" si="3"/>
        <v/>
      </c>
      <c r="E55" t="str">
        <f t="shared" si="4"/>
        <v/>
      </c>
      <c r="F55" t="str">
        <f t="shared" si="4"/>
        <v/>
      </c>
    </row>
    <row r="56" spans="2:6" x14ac:dyDescent="0.25">
      <c r="B56">
        <v>1</v>
      </c>
      <c r="C56" t="str">
        <f t="shared" si="3"/>
        <v/>
      </c>
      <c r="E56" t="str">
        <f t="shared" si="4"/>
        <v/>
      </c>
      <c r="F56" t="str">
        <f t="shared" si="4"/>
        <v/>
      </c>
    </row>
    <row r="57" spans="2:6" x14ac:dyDescent="0.25">
      <c r="B57">
        <v>2</v>
      </c>
      <c r="C57">
        <f t="shared" si="3"/>
        <v>13</v>
      </c>
      <c r="E57" t="str">
        <f t="shared" si="4"/>
        <v/>
      </c>
      <c r="F57" t="str">
        <f t="shared" si="4"/>
        <v/>
      </c>
    </row>
    <row r="58" spans="2:6" x14ac:dyDescent="0.25">
      <c r="B58">
        <v>3</v>
      </c>
      <c r="C58" t="str">
        <f t="shared" si="3"/>
        <v/>
      </c>
      <c r="E58" t="str">
        <f t="shared" si="4"/>
        <v/>
      </c>
      <c r="F58" t="str">
        <f t="shared" si="4"/>
        <v/>
      </c>
    </row>
    <row r="59" spans="2:6" x14ac:dyDescent="0.25">
      <c r="B59">
        <v>4</v>
      </c>
      <c r="C59" t="str">
        <f t="shared" si="3"/>
        <v/>
      </c>
      <c r="E59" t="str">
        <f t="shared" si="4"/>
        <v/>
      </c>
      <c r="F59" t="str">
        <f t="shared" si="4"/>
        <v/>
      </c>
    </row>
    <row r="60" spans="2:6" x14ac:dyDescent="0.25">
      <c r="B60">
        <v>5</v>
      </c>
      <c r="C60" t="str">
        <f t="shared" si="3"/>
        <v/>
      </c>
      <c r="E60" t="str">
        <f t="shared" si="4"/>
        <v/>
      </c>
      <c r="F60" t="str">
        <f t="shared" si="4"/>
        <v/>
      </c>
    </row>
    <row r="61" spans="2:6" x14ac:dyDescent="0.25">
      <c r="B61">
        <v>6</v>
      </c>
      <c r="C61" t="str">
        <f t="shared" si="3"/>
        <v/>
      </c>
      <c r="E61" t="str">
        <f t="shared" si="4"/>
        <v/>
      </c>
      <c r="F61" t="str">
        <f t="shared" si="4"/>
        <v/>
      </c>
    </row>
    <row r="62" spans="2:6" x14ac:dyDescent="0.25">
      <c r="B62">
        <v>7</v>
      </c>
      <c r="C62" t="str">
        <f t="shared" si="3"/>
        <v/>
      </c>
      <c r="E62" t="str">
        <f t="shared" si="4"/>
        <v/>
      </c>
      <c r="F62" t="str">
        <f t="shared" si="4"/>
        <v/>
      </c>
    </row>
    <row r="63" spans="2:6" x14ac:dyDescent="0.25">
      <c r="B63">
        <v>8</v>
      </c>
      <c r="C63" t="str">
        <f t="shared" si="3"/>
        <v/>
      </c>
      <c r="E63" t="str">
        <f t="shared" si="4"/>
        <v/>
      </c>
      <c r="F63" t="str">
        <f t="shared" si="4"/>
        <v/>
      </c>
    </row>
    <row r="64" spans="2:6" x14ac:dyDescent="0.25">
      <c r="B64">
        <v>9</v>
      </c>
      <c r="C64">
        <f>IF(COUNT(C54:C63)=0,0,AVERAGE(C54:C63))</f>
        <v>13</v>
      </c>
      <c r="E64">
        <f>IF(COUNT(E54:E63)=0,0,AVERAGE(E54:E63))</f>
        <v>0</v>
      </c>
      <c r="F64">
        <f>IF(COUNT(F54:F63)=0,0,AVERAGE(F54:F63))</f>
        <v>0</v>
      </c>
    </row>
    <row r="65" spans="2:6" x14ac:dyDescent="0.25">
      <c r="B65">
        <v>10</v>
      </c>
    </row>
    <row r="66" spans="2:6" x14ac:dyDescent="0.25">
      <c r="B66" t="s">
        <v>140</v>
      </c>
      <c r="C66" s="120">
        <f>IF(C64=0,1,C64/I24)</f>
        <v>0.64356435643564358</v>
      </c>
      <c r="D66" s="120"/>
      <c r="E66" s="120">
        <f>IF(E64=0,1,E64/J24)</f>
        <v>1</v>
      </c>
      <c r="F66" s="120">
        <f>IF(F64=0,1,F64/K24)</f>
        <v>1</v>
      </c>
    </row>
  </sheetData>
  <conditionalFormatting sqref="F30 U30">
    <cfRule type="cellIs" dxfId="10" priority="1" stopIfTrue="1" operator="greaterThan">
      <formula>$F$29/3</formula>
    </cfRule>
  </conditionalFormatting>
  <dataValidations count="3">
    <dataValidation type="list" allowBlank="1" showInputMessage="1" showErrorMessage="1" sqref="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22 JT22 TP22 ADL22 ANH22 AXD22 BGZ22 BQV22 CAR22 CKN22 CUJ22 DEF22 DOB22 DXX22 EHT22 ERP22 FBL22 FLH22 FVD22 GEZ22 GOV22 GYR22 HIN22 HSJ22 ICF22 IMB22 IVX22 JFT22 JPP22 JZL22 KJH22 KTD22 LCZ22 LMV22 LWR22 MGN22 MQJ22 NAF22 NKB22 NTX22 ODT22 ONP22 OXL22 PHH22 PRD22 QAZ22 QKV22 QUR22 REN22 ROJ22 RYF22 SIB22 SRX22 TBT22 TLP22 TVL22 UFH22 UPD22 UYZ22 VIV22 VSR22 WCN22 WMJ22 WWF22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R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
      <formula1>$AG$3:$AG$4</formula1>
    </dataValidation>
    <dataValidation type="list" allowBlank="1" showInputMessage="1" showErrorMessage="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X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formula1>$AF$3:$AF$9</formula1>
    </dataValidation>
    <dataValidation type="list" allowBlank="1" showInputMessage="1" showErrorMessage="1" sqref="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formula1>$T$4:$U$4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workbookViewId="0">
      <selection activeCell="L40" sqref="L40"/>
    </sheetView>
  </sheetViews>
  <sheetFormatPr defaultRowHeight="15" x14ac:dyDescent="0.25"/>
  <cols>
    <col min="1" max="1" width="6.85546875" customWidth="1"/>
    <col min="2" max="2" width="25" customWidth="1"/>
    <col min="3" max="3" width="13.140625" customWidth="1"/>
    <col min="4" max="4" width="5.7109375" customWidth="1"/>
    <col min="5" max="5" width="5.85546875" customWidth="1"/>
    <col min="6" max="6" width="1.7109375" customWidth="1"/>
    <col min="13" max="13" width="1.85546875" customWidth="1"/>
    <col min="26" max="26" width="14" customWidth="1"/>
    <col min="27" max="27" width="16.28515625" customWidth="1"/>
    <col min="32" max="32" width="8.85546875" customWidth="1"/>
    <col min="33" max="33" width="12.7109375" customWidth="1"/>
    <col min="36" max="36" width="18.140625" customWidth="1"/>
    <col min="257" max="257" width="6.85546875" customWidth="1"/>
    <col min="258" max="258" width="25" customWidth="1"/>
    <col min="259" max="259" width="13.140625" customWidth="1"/>
    <col min="260" max="260" width="5.7109375" customWidth="1"/>
    <col min="261" max="261" width="5.85546875" customWidth="1"/>
    <col min="262" max="262" width="1.7109375" customWidth="1"/>
    <col min="269" max="269" width="1.85546875" customWidth="1"/>
    <col min="282" max="282" width="14" customWidth="1"/>
    <col min="283" max="283" width="16.28515625" customWidth="1"/>
    <col min="288" max="288" width="8.85546875" customWidth="1"/>
    <col min="289" max="289" width="12.7109375" customWidth="1"/>
    <col min="292" max="292" width="18.140625" customWidth="1"/>
    <col min="513" max="513" width="6.85546875" customWidth="1"/>
    <col min="514" max="514" width="25" customWidth="1"/>
    <col min="515" max="515" width="13.140625" customWidth="1"/>
    <col min="516" max="516" width="5.7109375" customWidth="1"/>
    <col min="517" max="517" width="5.85546875" customWidth="1"/>
    <col min="518" max="518" width="1.7109375" customWidth="1"/>
    <col min="525" max="525" width="1.85546875" customWidth="1"/>
    <col min="538" max="538" width="14" customWidth="1"/>
    <col min="539" max="539" width="16.28515625" customWidth="1"/>
    <col min="544" max="544" width="8.85546875" customWidth="1"/>
    <col min="545" max="545" width="12.7109375" customWidth="1"/>
    <col min="548" max="548" width="18.140625" customWidth="1"/>
    <col min="769" max="769" width="6.85546875" customWidth="1"/>
    <col min="770" max="770" width="25" customWidth="1"/>
    <col min="771" max="771" width="13.140625" customWidth="1"/>
    <col min="772" max="772" width="5.7109375" customWidth="1"/>
    <col min="773" max="773" width="5.85546875" customWidth="1"/>
    <col min="774" max="774" width="1.7109375" customWidth="1"/>
    <col min="781" max="781" width="1.85546875" customWidth="1"/>
    <col min="794" max="794" width="14" customWidth="1"/>
    <col min="795" max="795" width="16.28515625" customWidth="1"/>
    <col min="800" max="800" width="8.85546875" customWidth="1"/>
    <col min="801" max="801" width="12.7109375" customWidth="1"/>
    <col min="804" max="804" width="18.140625" customWidth="1"/>
    <col min="1025" max="1025" width="6.85546875" customWidth="1"/>
    <col min="1026" max="1026" width="25" customWidth="1"/>
    <col min="1027" max="1027" width="13.140625" customWidth="1"/>
    <col min="1028" max="1028" width="5.7109375" customWidth="1"/>
    <col min="1029" max="1029" width="5.85546875" customWidth="1"/>
    <col min="1030" max="1030" width="1.7109375" customWidth="1"/>
    <col min="1037" max="1037" width="1.85546875" customWidth="1"/>
    <col min="1050" max="1050" width="14" customWidth="1"/>
    <col min="1051" max="1051" width="16.28515625" customWidth="1"/>
    <col min="1056" max="1056" width="8.85546875" customWidth="1"/>
    <col min="1057" max="1057" width="12.7109375" customWidth="1"/>
    <col min="1060" max="1060" width="18.140625" customWidth="1"/>
    <col min="1281" max="1281" width="6.85546875" customWidth="1"/>
    <col min="1282" max="1282" width="25" customWidth="1"/>
    <col min="1283" max="1283" width="13.140625" customWidth="1"/>
    <col min="1284" max="1284" width="5.7109375" customWidth="1"/>
    <col min="1285" max="1285" width="5.85546875" customWidth="1"/>
    <col min="1286" max="1286" width="1.7109375" customWidth="1"/>
    <col min="1293" max="1293" width="1.85546875" customWidth="1"/>
    <col min="1306" max="1306" width="14" customWidth="1"/>
    <col min="1307" max="1307" width="16.28515625" customWidth="1"/>
    <col min="1312" max="1312" width="8.85546875" customWidth="1"/>
    <col min="1313" max="1313" width="12.7109375" customWidth="1"/>
    <col min="1316" max="1316" width="18.140625" customWidth="1"/>
    <col min="1537" max="1537" width="6.85546875" customWidth="1"/>
    <col min="1538" max="1538" width="25" customWidth="1"/>
    <col min="1539" max="1539" width="13.140625" customWidth="1"/>
    <col min="1540" max="1540" width="5.7109375" customWidth="1"/>
    <col min="1541" max="1541" width="5.85546875" customWidth="1"/>
    <col min="1542" max="1542" width="1.7109375" customWidth="1"/>
    <col min="1549" max="1549" width="1.85546875" customWidth="1"/>
    <col min="1562" max="1562" width="14" customWidth="1"/>
    <col min="1563" max="1563" width="16.28515625" customWidth="1"/>
    <col min="1568" max="1568" width="8.85546875" customWidth="1"/>
    <col min="1569" max="1569" width="12.7109375" customWidth="1"/>
    <col min="1572" max="1572" width="18.140625" customWidth="1"/>
    <col min="1793" max="1793" width="6.85546875" customWidth="1"/>
    <col min="1794" max="1794" width="25" customWidth="1"/>
    <col min="1795" max="1795" width="13.140625" customWidth="1"/>
    <col min="1796" max="1796" width="5.7109375" customWidth="1"/>
    <col min="1797" max="1797" width="5.85546875" customWidth="1"/>
    <col min="1798" max="1798" width="1.7109375" customWidth="1"/>
    <col min="1805" max="1805" width="1.85546875" customWidth="1"/>
    <col min="1818" max="1818" width="14" customWidth="1"/>
    <col min="1819" max="1819" width="16.28515625" customWidth="1"/>
    <col min="1824" max="1824" width="8.85546875" customWidth="1"/>
    <col min="1825" max="1825" width="12.7109375" customWidth="1"/>
    <col min="1828" max="1828" width="18.140625" customWidth="1"/>
    <col min="2049" max="2049" width="6.85546875" customWidth="1"/>
    <col min="2050" max="2050" width="25" customWidth="1"/>
    <col min="2051" max="2051" width="13.140625" customWidth="1"/>
    <col min="2052" max="2052" width="5.7109375" customWidth="1"/>
    <col min="2053" max="2053" width="5.85546875" customWidth="1"/>
    <col min="2054" max="2054" width="1.7109375" customWidth="1"/>
    <col min="2061" max="2061" width="1.85546875" customWidth="1"/>
    <col min="2074" max="2074" width="14" customWidth="1"/>
    <col min="2075" max="2075" width="16.28515625" customWidth="1"/>
    <col min="2080" max="2080" width="8.85546875" customWidth="1"/>
    <col min="2081" max="2081" width="12.7109375" customWidth="1"/>
    <col min="2084" max="2084" width="18.140625" customWidth="1"/>
    <col min="2305" max="2305" width="6.85546875" customWidth="1"/>
    <col min="2306" max="2306" width="25" customWidth="1"/>
    <col min="2307" max="2307" width="13.140625" customWidth="1"/>
    <col min="2308" max="2308" width="5.7109375" customWidth="1"/>
    <col min="2309" max="2309" width="5.85546875" customWidth="1"/>
    <col min="2310" max="2310" width="1.7109375" customWidth="1"/>
    <col min="2317" max="2317" width="1.85546875" customWidth="1"/>
    <col min="2330" max="2330" width="14" customWidth="1"/>
    <col min="2331" max="2331" width="16.28515625" customWidth="1"/>
    <col min="2336" max="2336" width="8.85546875" customWidth="1"/>
    <col min="2337" max="2337" width="12.7109375" customWidth="1"/>
    <col min="2340" max="2340" width="18.140625" customWidth="1"/>
    <col min="2561" max="2561" width="6.85546875" customWidth="1"/>
    <col min="2562" max="2562" width="25" customWidth="1"/>
    <col min="2563" max="2563" width="13.140625" customWidth="1"/>
    <col min="2564" max="2564" width="5.7109375" customWidth="1"/>
    <col min="2565" max="2565" width="5.85546875" customWidth="1"/>
    <col min="2566" max="2566" width="1.7109375" customWidth="1"/>
    <col min="2573" max="2573" width="1.85546875" customWidth="1"/>
    <col min="2586" max="2586" width="14" customWidth="1"/>
    <col min="2587" max="2587" width="16.28515625" customWidth="1"/>
    <col min="2592" max="2592" width="8.85546875" customWidth="1"/>
    <col min="2593" max="2593" width="12.7109375" customWidth="1"/>
    <col min="2596" max="2596" width="18.140625" customWidth="1"/>
    <col min="2817" max="2817" width="6.85546875" customWidth="1"/>
    <col min="2818" max="2818" width="25" customWidth="1"/>
    <col min="2819" max="2819" width="13.140625" customWidth="1"/>
    <col min="2820" max="2820" width="5.7109375" customWidth="1"/>
    <col min="2821" max="2821" width="5.85546875" customWidth="1"/>
    <col min="2822" max="2822" width="1.7109375" customWidth="1"/>
    <col min="2829" max="2829" width="1.85546875" customWidth="1"/>
    <col min="2842" max="2842" width="14" customWidth="1"/>
    <col min="2843" max="2843" width="16.28515625" customWidth="1"/>
    <col min="2848" max="2848" width="8.85546875" customWidth="1"/>
    <col min="2849" max="2849" width="12.7109375" customWidth="1"/>
    <col min="2852" max="2852" width="18.140625" customWidth="1"/>
    <col min="3073" max="3073" width="6.85546875" customWidth="1"/>
    <col min="3074" max="3074" width="25" customWidth="1"/>
    <col min="3075" max="3075" width="13.140625" customWidth="1"/>
    <col min="3076" max="3076" width="5.7109375" customWidth="1"/>
    <col min="3077" max="3077" width="5.85546875" customWidth="1"/>
    <col min="3078" max="3078" width="1.7109375" customWidth="1"/>
    <col min="3085" max="3085" width="1.85546875" customWidth="1"/>
    <col min="3098" max="3098" width="14" customWidth="1"/>
    <col min="3099" max="3099" width="16.28515625" customWidth="1"/>
    <col min="3104" max="3104" width="8.85546875" customWidth="1"/>
    <col min="3105" max="3105" width="12.7109375" customWidth="1"/>
    <col min="3108" max="3108" width="18.140625" customWidth="1"/>
    <col min="3329" max="3329" width="6.85546875" customWidth="1"/>
    <col min="3330" max="3330" width="25" customWidth="1"/>
    <col min="3331" max="3331" width="13.140625" customWidth="1"/>
    <col min="3332" max="3332" width="5.7109375" customWidth="1"/>
    <col min="3333" max="3333" width="5.85546875" customWidth="1"/>
    <col min="3334" max="3334" width="1.7109375" customWidth="1"/>
    <col min="3341" max="3341" width="1.85546875" customWidth="1"/>
    <col min="3354" max="3354" width="14" customWidth="1"/>
    <col min="3355" max="3355" width="16.28515625" customWidth="1"/>
    <col min="3360" max="3360" width="8.85546875" customWidth="1"/>
    <col min="3361" max="3361" width="12.7109375" customWidth="1"/>
    <col min="3364" max="3364" width="18.140625" customWidth="1"/>
    <col min="3585" max="3585" width="6.85546875" customWidth="1"/>
    <col min="3586" max="3586" width="25" customWidth="1"/>
    <col min="3587" max="3587" width="13.140625" customWidth="1"/>
    <col min="3588" max="3588" width="5.7109375" customWidth="1"/>
    <col min="3589" max="3589" width="5.85546875" customWidth="1"/>
    <col min="3590" max="3590" width="1.7109375" customWidth="1"/>
    <col min="3597" max="3597" width="1.85546875" customWidth="1"/>
    <col min="3610" max="3610" width="14" customWidth="1"/>
    <col min="3611" max="3611" width="16.28515625" customWidth="1"/>
    <col min="3616" max="3616" width="8.85546875" customWidth="1"/>
    <col min="3617" max="3617" width="12.7109375" customWidth="1"/>
    <col min="3620" max="3620" width="18.140625" customWidth="1"/>
    <col min="3841" max="3841" width="6.85546875" customWidth="1"/>
    <col min="3842" max="3842" width="25" customWidth="1"/>
    <col min="3843" max="3843" width="13.140625" customWidth="1"/>
    <col min="3844" max="3844" width="5.7109375" customWidth="1"/>
    <col min="3845" max="3845" width="5.85546875" customWidth="1"/>
    <col min="3846" max="3846" width="1.7109375" customWidth="1"/>
    <col min="3853" max="3853" width="1.85546875" customWidth="1"/>
    <col min="3866" max="3866" width="14" customWidth="1"/>
    <col min="3867" max="3867" width="16.28515625" customWidth="1"/>
    <col min="3872" max="3872" width="8.85546875" customWidth="1"/>
    <col min="3873" max="3873" width="12.7109375" customWidth="1"/>
    <col min="3876" max="3876" width="18.140625" customWidth="1"/>
    <col min="4097" max="4097" width="6.85546875" customWidth="1"/>
    <col min="4098" max="4098" width="25" customWidth="1"/>
    <col min="4099" max="4099" width="13.140625" customWidth="1"/>
    <col min="4100" max="4100" width="5.7109375" customWidth="1"/>
    <col min="4101" max="4101" width="5.85546875" customWidth="1"/>
    <col min="4102" max="4102" width="1.7109375" customWidth="1"/>
    <col min="4109" max="4109" width="1.85546875" customWidth="1"/>
    <col min="4122" max="4122" width="14" customWidth="1"/>
    <col min="4123" max="4123" width="16.28515625" customWidth="1"/>
    <col min="4128" max="4128" width="8.85546875" customWidth="1"/>
    <col min="4129" max="4129" width="12.7109375" customWidth="1"/>
    <col min="4132" max="4132" width="18.140625" customWidth="1"/>
    <col min="4353" max="4353" width="6.85546875" customWidth="1"/>
    <col min="4354" max="4354" width="25" customWidth="1"/>
    <col min="4355" max="4355" width="13.140625" customWidth="1"/>
    <col min="4356" max="4356" width="5.7109375" customWidth="1"/>
    <col min="4357" max="4357" width="5.85546875" customWidth="1"/>
    <col min="4358" max="4358" width="1.7109375" customWidth="1"/>
    <col min="4365" max="4365" width="1.85546875" customWidth="1"/>
    <col min="4378" max="4378" width="14" customWidth="1"/>
    <col min="4379" max="4379" width="16.28515625" customWidth="1"/>
    <col min="4384" max="4384" width="8.85546875" customWidth="1"/>
    <col min="4385" max="4385" width="12.7109375" customWidth="1"/>
    <col min="4388" max="4388" width="18.140625" customWidth="1"/>
    <col min="4609" max="4609" width="6.85546875" customWidth="1"/>
    <col min="4610" max="4610" width="25" customWidth="1"/>
    <col min="4611" max="4611" width="13.140625" customWidth="1"/>
    <col min="4612" max="4612" width="5.7109375" customWidth="1"/>
    <col min="4613" max="4613" width="5.85546875" customWidth="1"/>
    <col min="4614" max="4614" width="1.7109375" customWidth="1"/>
    <col min="4621" max="4621" width="1.85546875" customWidth="1"/>
    <col min="4634" max="4634" width="14" customWidth="1"/>
    <col min="4635" max="4635" width="16.28515625" customWidth="1"/>
    <col min="4640" max="4640" width="8.85546875" customWidth="1"/>
    <col min="4641" max="4641" width="12.7109375" customWidth="1"/>
    <col min="4644" max="4644" width="18.140625" customWidth="1"/>
    <col min="4865" max="4865" width="6.85546875" customWidth="1"/>
    <col min="4866" max="4866" width="25" customWidth="1"/>
    <col min="4867" max="4867" width="13.140625" customWidth="1"/>
    <col min="4868" max="4868" width="5.7109375" customWidth="1"/>
    <col min="4869" max="4869" width="5.85546875" customWidth="1"/>
    <col min="4870" max="4870" width="1.7109375" customWidth="1"/>
    <col min="4877" max="4877" width="1.85546875" customWidth="1"/>
    <col min="4890" max="4890" width="14" customWidth="1"/>
    <col min="4891" max="4891" width="16.28515625" customWidth="1"/>
    <col min="4896" max="4896" width="8.85546875" customWidth="1"/>
    <col min="4897" max="4897" width="12.7109375" customWidth="1"/>
    <col min="4900" max="4900" width="18.140625" customWidth="1"/>
    <col min="5121" max="5121" width="6.85546875" customWidth="1"/>
    <col min="5122" max="5122" width="25" customWidth="1"/>
    <col min="5123" max="5123" width="13.140625" customWidth="1"/>
    <col min="5124" max="5124" width="5.7109375" customWidth="1"/>
    <col min="5125" max="5125" width="5.85546875" customWidth="1"/>
    <col min="5126" max="5126" width="1.7109375" customWidth="1"/>
    <col min="5133" max="5133" width="1.85546875" customWidth="1"/>
    <col min="5146" max="5146" width="14" customWidth="1"/>
    <col min="5147" max="5147" width="16.28515625" customWidth="1"/>
    <col min="5152" max="5152" width="8.85546875" customWidth="1"/>
    <col min="5153" max="5153" width="12.7109375" customWidth="1"/>
    <col min="5156" max="5156" width="18.140625" customWidth="1"/>
    <col min="5377" max="5377" width="6.85546875" customWidth="1"/>
    <col min="5378" max="5378" width="25" customWidth="1"/>
    <col min="5379" max="5379" width="13.140625" customWidth="1"/>
    <col min="5380" max="5380" width="5.7109375" customWidth="1"/>
    <col min="5381" max="5381" width="5.85546875" customWidth="1"/>
    <col min="5382" max="5382" width="1.7109375" customWidth="1"/>
    <col min="5389" max="5389" width="1.85546875" customWidth="1"/>
    <col min="5402" max="5402" width="14" customWidth="1"/>
    <col min="5403" max="5403" width="16.28515625" customWidth="1"/>
    <col min="5408" max="5408" width="8.85546875" customWidth="1"/>
    <col min="5409" max="5409" width="12.7109375" customWidth="1"/>
    <col min="5412" max="5412" width="18.140625" customWidth="1"/>
    <col min="5633" max="5633" width="6.85546875" customWidth="1"/>
    <col min="5634" max="5634" width="25" customWidth="1"/>
    <col min="5635" max="5635" width="13.140625" customWidth="1"/>
    <col min="5636" max="5636" width="5.7109375" customWidth="1"/>
    <col min="5637" max="5637" width="5.85546875" customWidth="1"/>
    <col min="5638" max="5638" width="1.7109375" customWidth="1"/>
    <col min="5645" max="5645" width="1.85546875" customWidth="1"/>
    <col min="5658" max="5658" width="14" customWidth="1"/>
    <col min="5659" max="5659" width="16.28515625" customWidth="1"/>
    <col min="5664" max="5664" width="8.85546875" customWidth="1"/>
    <col min="5665" max="5665" width="12.7109375" customWidth="1"/>
    <col min="5668" max="5668" width="18.140625" customWidth="1"/>
    <col min="5889" max="5889" width="6.85546875" customWidth="1"/>
    <col min="5890" max="5890" width="25" customWidth="1"/>
    <col min="5891" max="5891" width="13.140625" customWidth="1"/>
    <col min="5892" max="5892" width="5.7109375" customWidth="1"/>
    <col min="5893" max="5893" width="5.85546875" customWidth="1"/>
    <col min="5894" max="5894" width="1.7109375" customWidth="1"/>
    <col min="5901" max="5901" width="1.85546875" customWidth="1"/>
    <col min="5914" max="5914" width="14" customWidth="1"/>
    <col min="5915" max="5915" width="16.28515625" customWidth="1"/>
    <col min="5920" max="5920" width="8.85546875" customWidth="1"/>
    <col min="5921" max="5921" width="12.7109375" customWidth="1"/>
    <col min="5924" max="5924" width="18.140625" customWidth="1"/>
    <col min="6145" max="6145" width="6.85546875" customWidth="1"/>
    <col min="6146" max="6146" width="25" customWidth="1"/>
    <col min="6147" max="6147" width="13.140625" customWidth="1"/>
    <col min="6148" max="6148" width="5.7109375" customWidth="1"/>
    <col min="6149" max="6149" width="5.85546875" customWidth="1"/>
    <col min="6150" max="6150" width="1.7109375" customWidth="1"/>
    <col min="6157" max="6157" width="1.85546875" customWidth="1"/>
    <col min="6170" max="6170" width="14" customWidth="1"/>
    <col min="6171" max="6171" width="16.28515625" customWidth="1"/>
    <col min="6176" max="6176" width="8.85546875" customWidth="1"/>
    <col min="6177" max="6177" width="12.7109375" customWidth="1"/>
    <col min="6180" max="6180" width="18.140625" customWidth="1"/>
    <col min="6401" max="6401" width="6.85546875" customWidth="1"/>
    <col min="6402" max="6402" width="25" customWidth="1"/>
    <col min="6403" max="6403" width="13.140625" customWidth="1"/>
    <col min="6404" max="6404" width="5.7109375" customWidth="1"/>
    <col min="6405" max="6405" width="5.85546875" customWidth="1"/>
    <col min="6406" max="6406" width="1.7109375" customWidth="1"/>
    <col min="6413" max="6413" width="1.85546875" customWidth="1"/>
    <col min="6426" max="6426" width="14" customWidth="1"/>
    <col min="6427" max="6427" width="16.28515625" customWidth="1"/>
    <col min="6432" max="6432" width="8.85546875" customWidth="1"/>
    <col min="6433" max="6433" width="12.7109375" customWidth="1"/>
    <col min="6436" max="6436" width="18.140625" customWidth="1"/>
    <col min="6657" max="6657" width="6.85546875" customWidth="1"/>
    <col min="6658" max="6658" width="25" customWidth="1"/>
    <col min="6659" max="6659" width="13.140625" customWidth="1"/>
    <col min="6660" max="6660" width="5.7109375" customWidth="1"/>
    <col min="6661" max="6661" width="5.85546875" customWidth="1"/>
    <col min="6662" max="6662" width="1.7109375" customWidth="1"/>
    <col min="6669" max="6669" width="1.85546875" customWidth="1"/>
    <col min="6682" max="6682" width="14" customWidth="1"/>
    <col min="6683" max="6683" width="16.28515625" customWidth="1"/>
    <col min="6688" max="6688" width="8.85546875" customWidth="1"/>
    <col min="6689" max="6689" width="12.7109375" customWidth="1"/>
    <col min="6692" max="6692" width="18.140625" customWidth="1"/>
    <col min="6913" max="6913" width="6.85546875" customWidth="1"/>
    <col min="6914" max="6914" width="25" customWidth="1"/>
    <col min="6915" max="6915" width="13.140625" customWidth="1"/>
    <col min="6916" max="6916" width="5.7109375" customWidth="1"/>
    <col min="6917" max="6917" width="5.85546875" customWidth="1"/>
    <col min="6918" max="6918" width="1.7109375" customWidth="1"/>
    <col min="6925" max="6925" width="1.85546875" customWidth="1"/>
    <col min="6938" max="6938" width="14" customWidth="1"/>
    <col min="6939" max="6939" width="16.28515625" customWidth="1"/>
    <col min="6944" max="6944" width="8.85546875" customWidth="1"/>
    <col min="6945" max="6945" width="12.7109375" customWidth="1"/>
    <col min="6948" max="6948" width="18.140625" customWidth="1"/>
    <col min="7169" max="7169" width="6.85546875" customWidth="1"/>
    <col min="7170" max="7170" width="25" customWidth="1"/>
    <col min="7171" max="7171" width="13.140625" customWidth="1"/>
    <col min="7172" max="7172" width="5.7109375" customWidth="1"/>
    <col min="7173" max="7173" width="5.85546875" customWidth="1"/>
    <col min="7174" max="7174" width="1.7109375" customWidth="1"/>
    <col min="7181" max="7181" width="1.85546875" customWidth="1"/>
    <col min="7194" max="7194" width="14" customWidth="1"/>
    <col min="7195" max="7195" width="16.28515625" customWidth="1"/>
    <col min="7200" max="7200" width="8.85546875" customWidth="1"/>
    <col min="7201" max="7201" width="12.7109375" customWidth="1"/>
    <col min="7204" max="7204" width="18.140625" customWidth="1"/>
    <col min="7425" max="7425" width="6.85546875" customWidth="1"/>
    <col min="7426" max="7426" width="25" customWidth="1"/>
    <col min="7427" max="7427" width="13.140625" customWidth="1"/>
    <col min="7428" max="7428" width="5.7109375" customWidth="1"/>
    <col min="7429" max="7429" width="5.85546875" customWidth="1"/>
    <col min="7430" max="7430" width="1.7109375" customWidth="1"/>
    <col min="7437" max="7437" width="1.85546875" customWidth="1"/>
    <col min="7450" max="7450" width="14" customWidth="1"/>
    <col min="7451" max="7451" width="16.28515625" customWidth="1"/>
    <col min="7456" max="7456" width="8.85546875" customWidth="1"/>
    <col min="7457" max="7457" width="12.7109375" customWidth="1"/>
    <col min="7460" max="7460" width="18.140625" customWidth="1"/>
    <col min="7681" max="7681" width="6.85546875" customWidth="1"/>
    <col min="7682" max="7682" width="25" customWidth="1"/>
    <col min="7683" max="7683" width="13.140625" customWidth="1"/>
    <col min="7684" max="7684" width="5.7109375" customWidth="1"/>
    <col min="7685" max="7685" width="5.85546875" customWidth="1"/>
    <col min="7686" max="7686" width="1.7109375" customWidth="1"/>
    <col min="7693" max="7693" width="1.85546875" customWidth="1"/>
    <col min="7706" max="7706" width="14" customWidth="1"/>
    <col min="7707" max="7707" width="16.28515625" customWidth="1"/>
    <col min="7712" max="7712" width="8.85546875" customWidth="1"/>
    <col min="7713" max="7713" width="12.7109375" customWidth="1"/>
    <col min="7716" max="7716" width="18.140625" customWidth="1"/>
    <col min="7937" max="7937" width="6.85546875" customWidth="1"/>
    <col min="7938" max="7938" width="25" customWidth="1"/>
    <col min="7939" max="7939" width="13.140625" customWidth="1"/>
    <col min="7940" max="7940" width="5.7109375" customWidth="1"/>
    <col min="7941" max="7941" width="5.85546875" customWidth="1"/>
    <col min="7942" max="7942" width="1.7109375" customWidth="1"/>
    <col min="7949" max="7949" width="1.85546875" customWidth="1"/>
    <col min="7962" max="7962" width="14" customWidth="1"/>
    <col min="7963" max="7963" width="16.28515625" customWidth="1"/>
    <col min="7968" max="7968" width="8.85546875" customWidth="1"/>
    <col min="7969" max="7969" width="12.7109375" customWidth="1"/>
    <col min="7972" max="7972" width="18.140625" customWidth="1"/>
    <col min="8193" max="8193" width="6.85546875" customWidth="1"/>
    <col min="8194" max="8194" width="25" customWidth="1"/>
    <col min="8195" max="8195" width="13.140625" customWidth="1"/>
    <col min="8196" max="8196" width="5.7109375" customWidth="1"/>
    <col min="8197" max="8197" width="5.85546875" customWidth="1"/>
    <col min="8198" max="8198" width="1.7109375" customWidth="1"/>
    <col min="8205" max="8205" width="1.85546875" customWidth="1"/>
    <col min="8218" max="8218" width="14" customWidth="1"/>
    <col min="8219" max="8219" width="16.28515625" customWidth="1"/>
    <col min="8224" max="8224" width="8.85546875" customWidth="1"/>
    <col min="8225" max="8225" width="12.7109375" customWidth="1"/>
    <col min="8228" max="8228" width="18.140625" customWidth="1"/>
    <col min="8449" max="8449" width="6.85546875" customWidth="1"/>
    <col min="8450" max="8450" width="25" customWidth="1"/>
    <col min="8451" max="8451" width="13.140625" customWidth="1"/>
    <col min="8452" max="8452" width="5.7109375" customWidth="1"/>
    <col min="8453" max="8453" width="5.85546875" customWidth="1"/>
    <col min="8454" max="8454" width="1.7109375" customWidth="1"/>
    <col min="8461" max="8461" width="1.85546875" customWidth="1"/>
    <col min="8474" max="8474" width="14" customWidth="1"/>
    <col min="8475" max="8475" width="16.28515625" customWidth="1"/>
    <col min="8480" max="8480" width="8.85546875" customWidth="1"/>
    <col min="8481" max="8481" width="12.7109375" customWidth="1"/>
    <col min="8484" max="8484" width="18.140625" customWidth="1"/>
    <col min="8705" max="8705" width="6.85546875" customWidth="1"/>
    <col min="8706" max="8706" width="25" customWidth="1"/>
    <col min="8707" max="8707" width="13.140625" customWidth="1"/>
    <col min="8708" max="8708" width="5.7109375" customWidth="1"/>
    <col min="8709" max="8709" width="5.85546875" customWidth="1"/>
    <col min="8710" max="8710" width="1.7109375" customWidth="1"/>
    <col min="8717" max="8717" width="1.85546875" customWidth="1"/>
    <col min="8730" max="8730" width="14" customWidth="1"/>
    <col min="8731" max="8731" width="16.28515625" customWidth="1"/>
    <col min="8736" max="8736" width="8.85546875" customWidth="1"/>
    <col min="8737" max="8737" width="12.7109375" customWidth="1"/>
    <col min="8740" max="8740" width="18.140625" customWidth="1"/>
    <col min="8961" max="8961" width="6.85546875" customWidth="1"/>
    <col min="8962" max="8962" width="25" customWidth="1"/>
    <col min="8963" max="8963" width="13.140625" customWidth="1"/>
    <col min="8964" max="8964" width="5.7109375" customWidth="1"/>
    <col min="8965" max="8965" width="5.85546875" customWidth="1"/>
    <col min="8966" max="8966" width="1.7109375" customWidth="1"/>
    <col min="8973" max="8973" width="1.85546875" customWidth="1"/>
    <col min="8986" max="8986" width="14" customWidth="1"/>
    <col min="8987" max="8987" width="16.28515625" customWidth="1"/>
    <col min="8992" max="8992" width="8.85546875" customWidth="1"/>
    <col min="8993" max="8993" width="12.7109375" customWidth="1"/>
    <col min="8996" max="8996" width="18.140625" customWidth="1"/>
    <col min="9217" max="9217" width="6.85546875" customWidth="1"/>
    <col min="9218" max="9218" width="25" customWidth="1"/>
    <col min="9219" max="9219" width="13.140625" customWidth="1"/>
    <col min="9220" max="9220" width="5.7109375" customWidth="1"/>
    <col min="9221" max="9221" width="5.85546875" customWidth="1"/>
    <col min="9222" max="9222" width="1.7109375" customWidth="1"/>
    <col min="9229" max="9229" width="1.85546875" customWidth="1"/>
    <col min="9242" max="9242" width="14" customWidth="1"/>
    <col min="9243" max="9243" width="16.28515625" customWidth="1"/>
    <col min="9248" max="9248" width="8.85546875" customWidth="1"/>
    <col min="9249" max="9249" width="12.7109375" customWidth="1"/>
    <col min="9252" max="9252" width="18.140625" customWidth="1"/>
    <col min="9473" max="9473" width="6.85546875" customWidth="1"/>
    <col min="9474" max="9474" width="25" customWidth="1"/>
    <col min="9475" max="9475" width="13.140625" customWidth="1"/>
    <col min="9476" max="9476" width="5.7109375" customWidth="1"/>
    <col min="9477" max="9477" width="5.85546875" customWidth="1"/>
    <col min="9478" max="9478" width="1.7109375" customWidth="1"/>
    <col min="9485" max="9485" width="1.85546875" customWidth="1"/>
    <col min="9498" max="9498" width="14" customWidth="1"/>
    <col min="9499" max="9499" width="16.28515625" customWidth="1"/>
    <col min="9504" max="9504" width="8.85546875" customWidth="1"/>
    <col min="9505" max="9505" width="12.7109375" customWidth="1"/>
    <col min="9508" max="9508" width="18.140625" customWidth="1"/>
    <col min="9729" max="9729" width="6.85546875" customWidth="1"/>
    <col min="9730" max="9730" width="25" customWidth="1"/>
    <col min="9731" max="9731" width="13.140625" customWidth="1"/>
    <col min="9732" max="9732" width="5.7109375" customWidth="1"/>
    <col min="9733" max="9733" width="5.85546875" customWidth="1"/>
    <col min="9734" max="9734" width="1.7109375" customWidth="1"/>
    <col min="9741" max="9741" width="1.85546875" customWidth="1"/>
    <col min="9754" max="9754" width="14" customWidth="1"/>
    <col min="9755" max="9755" width="16.28515625" customWidth="1"/>
    <col min="9760" max="9760" width="8.85546875" customWidth="1"/>
    <col min="9761" max="9761" width="12.7109375" customWidth="1"/>
    <col min="9764" max="9764" width="18.140625" customWidth="1"/>
    <col min="9985" max="9985" width="6.85546875" customWidth="1"/>
    <col min="9986" max="9986" width="25" customWidth="1"/>
    <col min="9987" max="9987" width="13.140625" customWidth="1"/>
    <col min="9988" max="9988" width="5.7109375" customWidth="1"/>
    <col min="9989" max="9989" width="5.85546875" customWidth="1"/>
    <col min="9990" max="9990" width="1.7109375" customWidth="1"/>
    <col min="9997" max="9997" width="1.85546875" customWidth="1"/>
    <col min="10010" max="10010" width="14" customWidth="1"/>
    <col min="10011" max="10011" width="16.28515625" customWidth="1"/>
    <col min="10016" max="10016" width="8.85546875" customWidth="1"/>
    <col min="10017" max="10017" width="12.7109375" customWidth="1"/>
    <col min="10020" max="10020" width="18.140625" customWidth="1"/>
    <col min="10241" max="10241" width="6.85546875" customWidth="1"/>
    <col min="10242" max="10242" width="25" customWidth="1"/>
    <col min="10243" max="10243" width="13.140625" customWidth="1"/>
    <col min="10244" max="10244" width="5.7109375" customWidth="1"/>
    <col min="10245" max="10245" width="5.85546875" customWidth="1"/>
    <col min="10246" max="10246" width="1.7109375" customWidth="1"/>
    <col min="10253" max="10253" width="1.85546875" customWidth="1"/>
    <col min="10266" max="10266" width="14" customWidth="1"/>
    <col min="10267" max="10267" width="16.28515625" customWidth="1"/>
    <col min="10272" max="10272" width="8.85546875" customWidth="1"/>
    <col min="10273" max="10273" width="12.7109375" customWidth="1"/>
    <col min="10276" max="10276" width="18.140625" customWidth="1"/>
    <col min="10497" max="10497" width="6.85546875" customWidth="1"/>
    <col min="10498" max="10498" width="25" customWidth="1"/>
    <col min="10499" max="10499" width="13.140625" customWidth="1"/>
    <col min="10500" max="10500" width="5.7109375" customWidth="1"/>
    <col min="10501" max="10501" width="5.85546875" customWidth="1"/>
    <col min="10502" max="10502" width="1.7109375" customWidth="1"/>
    <col min="10509" max="10509" width="1.85546875" customWidth="1"/>
    <col min="10522" max="10522" width="14" customWidth="1"/>
    <col min="10523" max="10523" width="16.28515625" customWidth="1"/>
    <col min="10528" max="10528" width="8.85546875" customWidth="1"/>
    <col min="10529" max="10529" width="12.7109375" customWidth="1"/>
    <col min="10532" max="10532" width="18.140625" customWidth="1"/>
    <col min="10753" max="10753" width="6.85546875" customWidth="1"/>
    <col min="10754" max="10754" width="25" customWidth="1"/>
    <col min="10755" max="10755" width="13.140625" customWidth="1"/>
    <col min="10756" max="10756" width="5.7109375" customWidth="1"/>
    <col min="10757" max="10757" width="5.85546875" customWidth="1"/>
    <col min="10758" max="10758" width="1.7109375" customWidth="1"/>
    <col min="10765" max="10765" width="1.85546875" customWidth="1"/>
    <col min="10778" max="10778" width="14" customWidth="1"/>
    <col min="10779" max="10779" width="16.28515625" customWidth="1"/>
    <col min="10784" max="10784" width="8.85546875" customWidth="1"/>
    <col min="10785" max="10785" width="12.7109375" customWidth="1"/>
    <col min="10788" max="10788" width="18.140625" customWidth="1"/>
    <col min="11009" max="11009" width="6.85546875" customWidth="1"/>
    <col min="11010" max="11010" width="25" customWidth="1"/>
    <col min="11011" max="11011" width="13.140625" customWidth="1"/>
    <col min="11012" max="11012" width="5.7109375" customWidth="1"/>
    <col min="11013" max="11013" width="5.85546875" customWidth="1"/>
    <col min="11014" max="11014" width="1.7109375" customWidth="1"/>
    <col min="11021" max="11021" width="1.85546875" customWidth="1"/>
    <col min="11034" max="11034" width="14" customWidth="1"/>
    <col min="11035" max="11035" width="16.28515625" customWidth="1"/>
    <col min="11040" max="11040" width="8.85546875" customWidth="1"/>
    <col min="11041" max="11041" width="12.7109375" customWidth="1"/>
    <col min="11044" max="11044" width="18.140625" customWidth="1"/>
    <col min="11265" max="11265" width="6.85546875" customWidth="1"/>
    <col min="11266" max="11266" width="25" customWidth="1"/>
    <col min="11267" max="11267" width="13.140625" customWidth="1"/>
    <col min="11268" max="11268" width="5.7109375" customWidth="1"/>
    <col min="11269" max="11269" width="5.85546875" customWidth="1"/>
    <col min="11270" max="11270" width="1.7109375" customWidth="1"/>
    <col min="11277" max="11277" width="1.85546875" customWidth="1"/>
    <col min="11290" max="11290" width="14" customWidth="1"/>
    <col min="11291" max="11291" width="16.28515625" customWidth="1"/>
    <col min="11296" max="11296" width="8.85546875" customWidth="1"/>
    <col min="11297" max="11297" width="12.7109375" customWidth="1"/>
    <col min="11300" max="11300" width="18.140625" customWidth="1"/>
    <col min="11521" max="11521" width="6.85546875" customWidth="1"/>
    <col min="11522" max="11522" width="25" customWidth="1"/>
    <col min="11523" max="11523" width="13.140625" customWidth="1"/>
    <col min="11524" max="11524" width="5.7109375" customWidth="1"/>
    <col min="11525" max="11525" width="5.85546875" customWidth="1"/>
    <col min="11526" max="11526" width="1.7109375" customWidth="1"/>
    <col min="11533" max="11533" width="1.85546875" customWidth="1"/>
    <col min="11546" max="11546" width="14" customWidth="1"/>
    <col min="11547" max="11547" width="16.28515625" customWidth="1"/>
    <col min="11552" max="11552" width="8.85546875" customWidth="1"/>
    <col min="11553" max="11553" width="12.7109375" customWidth="1"/>
    <col min="11556" max="11556" width="18.140625" customWidth="1"/>
    <col min="11777" max="11777" width="6.85546875" customWidth="1"/>
    <col min="11778" max="11778" width="25" customWidth="1"/>
    <col min="11779" max="11779" width="13.140625" customWidth="1"/>
    <col min="11780" max="11780" width="5.7109375" customWidth="1"/>
    <col min="11781" max="11781" width="5.85546875" customWidth="1"/>
    <col min="11782" max="11782" width="1.7109375" customWidth="1"/>
    <col min="11789" max="11789" width="1.85546875" customWidth="1"/>
    <col min="11802" max="11802" width="14" customWidth="1"/>
    <col min="11803" max="11803" width="16.28515625" customWidth="1"/>
    <col min="11808" max="11808" width="8.85546875" customWidth="1"/>
    <col min="11809" max="11809" width="12.7109375" customWidth="1"/>
    <col min="11812" max="11812" width="18.140625" customWidth="1"/>
    <col min="12033" max="12033" width="6.85546875" customWidth="1"/>
    <col min="12034" max="12034" width="25" customWidth="1"/>
    <col min="12035" max="12035" width="13.140625" customWidth="1"/>
    <col min="12036" max="12036" width="5.7109375" customWidth="1"/>
    <col min="12037" max="12037" width="5.85546875" customWidth="1"/>
    <col min="12038" max="12038" width="1.7109375" customWidth="1"/>
    <col min="12045" max="12045" width="1.85546875" customWidth="1"/>
    <col min="12058" max="12058" width="14" customWidth="1"/>
    <col min="12059" max="12059" width="16.28515625" customWidth="1"/>
    <col min="12064" max="12064" width="8.85546875" customWidth="1"/>
    <col min="12065" max="12065" width="12.7109375" customWidth="1"/>
    <col min="12068" max="12068" width="18.140625" customWidth="1"/>
    <col min="12289" max="12289" width="6.85546875" customWidth="1"/>
    <col min="12290" max="12290" width="25" customWidth="1"/>
    <col min="12291" max="12291" width="13.140625" customWidth="1"/>
    <col min="12292" max="12292" width="5.7109375" customWidth="1"/>
    <col min="12293" max="12293" width="5.85546875" customWidth="1"/>
    <col min="12294" max="12294" width="1.7109375" customWidth="1"/>
    <col min="12301" max="12301" width="1.85546875" customWidth="1"/>
    <col min="12314" max="12314" width="14" customWidth="1"/>
    <col min="12315" max="12315" width="16.28515625" customWidth="1"/>
    <col min="12320" max="12320" width="8.85546875" customWidth="1"/>
    <col min="12321" max="12321" width="12.7109375" customWidth="1"/>
    <col min="12324" max="12324" width="18.140625" customWidth="1"/>
    <col min="12545" max="12545" width="6.85546875" customWidth="1"/>
    <col min="12546" max="12546" width="25" customWidth="1"/>
    <col min="12547" max="12547" width="13.140625" customWidth="1"/>
    <col min="12548" max="12548" width="5.7109375" customWidth="1"/>
    <col min="12549" max="12549" width="5.85546875" customWidth="1"/>
    <col min="12550" max="12550" width="1.7109375" customWidth="1"/>
    <col min="12557" max="12557" width="1.85546875" customWidth="1"/>
    <col min="12570" max="12570" width="14" customWidth="1"/>
    <col min="12571" max="12571" width="16.28515625" customWidth="1"/>
    <col min="12576" max="12576" width="8.85546875" customWidth="1"/>
    <col min="12577" max="12577" width="12.7109375" customWidth="1"/>
    <col min="12580" max="12580" width="18.140625" customWidth="1"/>
    <col min="12801" max="12801" width="6.85546875" customWidth="1"/>
    <col min="12802" max="12802" width="25" customWidth="1"/>
    <col min="12803" max="12803" width="13.140625" customWidth="1"/>
    <col min="12804" max="12804" width="5.7109375" customWidth="1"/>
    <col min="12805" max="12805" width="5.85546875" customWidth="1"/>
    <col min="12806" max="12806" width="1.7109375" customWidth="1"/>
    <col min="12813" max="12813" width="1.85546875" customWidth="1"/>
    <col min="12826" max="12826" width="14" customWidth="1"/>
    <col min="12827" max="12827" width="16.28515625" customWidth="1"/>
    <col min="12832" max="12832" width="8.85546875" customWidth="1"/>
    <col min="12833" max="12833" width="12.7109375" customWidth="1"/>
    <col min="12836" max="12836" width="18.140625" customWidth="1"/>
    <col min="13057" max="13057" width="6.85546875" customWidth="1"/>
    <col min="13058" max="13058" width="25" customWidth="1"/>
    <col min="13059" max="13059" width="13.140625" customWidth="1"/>
    <col min="13060" max="13060" width="5.7109375" customWidth="1"/>
    <col min="13061" max="13061" width="5.85546875" customWidth="1"/>
    <col min="13062" max="13062" width="1.7109375" customWidth="1"/>
    <col min="13069" max="13069" width="1.85546875" customWidth="1"/>
    <col min="13082" max="13082" width="14" customWidth="1"/>
    <col min="13083" max="13083" width="16.28515625" customWidth="1"/>
    <col min="13088" max="13088" width="8.85546875" customWidth="1"/>
    <col min="13089" max="13089" width="12.7109375" customWidth="1"/>
    <col min="13092" max="13092" width="18.140625" customWidth="1"/>
    <col min="13313" max="13313" width="6.85546875" customWidth="1"/>
    <col min="13314" max="13314" width="25" customWidth="1"/>
    <col min="13315" max="13315" width="13.140625" customWidth="1"/>
    <col min="13316" max="13316" width="5.7109375" customWidth="1"/>
    <col min="13317" max="13317" width="5.85546875" customWidth="1"/>
    <col min="13318" max="13318" width="1.7109375" customWidth="1"/>
    <col min="13325" max="13325" width="1.85546875" customWidth="1"/>
    <col min="13338" max="13338" width="14" customWidth="1"/>
    <col min="13339" max="13339" width="16.28515625" customWidth="1"/>
    <col min="13344" max="13344" width="8.85546875" customWidth="1"/>
    <col min="13345" max="13345" width="12.7109375" customWidth="1"/>
    <col min="13348" max="13348" width="18.140625" customWidth="1"/>
    <col min="13569" max="13569" width="6.85546875" customWidth="1"/>
    <col min="13570" max="13570" width="25" customWidth="1"/>
    <col min="13571" max="13571" width="13.140625" customWidth="1"/>
    <col min="13572" max="13572" width="5.7109375" customWidth="1"/>
    <col min="13573" max="13573" width="5.85546875" customWidth="1"/>
    <col min="13574" max="13574" width="1.7109375" customWidth="1"/>
    <col min="13581" max="13581" width="1.85546875" customWidth="1"/>
    <col min="13594" max="13594" width="14" customWidth="1"/>
    <col min="13595" max="13595" width="16.28515625" customWidth="1"/>
    <col min="13600" max="13600" width="8.85546875" customWidth="1"/>
    <col min="13601" max="13601" width="12.7109375" customWidth="1"/>
    <col min="13604" max="13604" width="18.140625" customWidth="1"/>
    <col min="13825" max="13825" width="6.85546875" customWidth="1"/>
    <col min="13826" max="13826" width="25" customWidth="1"/>
    <col min="13827" max="13827" width="13.140625" customWidth="1"/>
    <col min="13828" max="13828" width="5.7109375" customWidth="1"/>
    <col min="13829" max="13829" width="5.85546875" customWidth="1"/>
    <col min="13830" max="13830" width="1.7109375" customWidth="1"/>
    <col min="13837" max="13837" width="1.85546875" customWidth="1"/>
    <col min="13850" max="13850" width="14" customWidth="1"/>
    <col min="13851" max="13851" width="16.28515625" customWidth="1"/>
    <col min="13856" max="13856" width="8.85546875" customWidth="1"/>
    <col min="13857" max="13857" width="12.7109375" customWidth="1"/>
    <col min="13860" max="13860" width="18.140625" customWidth="1"/>
    <col min="14081" max="14081" width="6.85546875" customWidth="1"/>
    <col min="14082" max="14082" width="25" customWidth="1"/>
    <col min="14083" max="14083" width="13.140625" customWidth="1"/>
    <col min="14084" max="14084" width="5.7109375" customWidth="1"/>
    <col min="14085" max="14085" width="5.85546875" customWidth="1"/>
    <col min="14086" max="14086" width="1.7109375" customWidth="1"/>
    <col min="14093" max="14093" width="1.85546875" customWidth="1"/>
    <col min="14106" max="14106" width="14" customWidth="1"/>
    <col min="14107" max="14107" width="16.28515625" customWidth="1"/>
    <col min="14112" max="14112" width="8.85546875" customWidth="1"/>
    <col min="14113" max="14113" width="12.7109375" customWidth="1"/>
    <col min="14116" max="14116" width="18.140625" customWidth="1"/>
    <col min="14337" max="14337" width="6.85546875" customWidth="1"/>
    <col min="14338" max="14338" width="25" customWidth="1"/>
    <col min="14339" max="14339" width="13.140625" customWidth="1"/>
    <col min="14340" max="14340" width="5.7109375" customWidth="1"/>
    <col min="14341" max="14341" width="5.85546875" customWidth="1"/>
    <col min="14342" max="14342" width="1.7109375" customWidth="1"/>
    <col min="14349" max="14349" width="1.85546875" customWidth="1"/>
    <col min="14362" max="14362" width="14" customWidth="1"/>
    <col min="14363" max="14363" width="16.28515625" customWidth="1"/>
    <col min="14368" max="14368" width="8.85546875" customWidth="1"/>
    <col min="14369" max="14369" width="12.7109375" customWidth="1"/>
    <col min="14372" max="14372" width="18.140625" customWidth="1"/>
    <col min="14593" max="14593" width="6.85546875" customWidth="1"/>
    <col min="14594" max="14594" width="25" customWidth="1"/>
    <col min="14595" max="14595" width="13.140625" customWidth="1"/>
    <col min="14596" max="14596" width="5.7109375" customWidth="1"/>
    <col min="14597" max="14597" width="5.85546875" customWidth="1"/>
    <col min="14598" max="14598" width="1.7109375" customWidth="1"/>
    <col min="14605" max="14605" width="1.85546875" customWidth="1"/>
    <col min="14618" max="14618" width="14" customWidth="1"/>
    <col min="14619" max="14619" width="16.28515625" customWidth="1"/>
    <col min="14624" max="14624" width="8.85546875" customWidth="1"/>
    <col min="14625" max="14625" width="12.7109375" customWidth="1"/>
    <col min="14628" max="14628" width="18.140625" customWidth="1"/>
    <col min="14849" max="14849" width="6.85546875" customWidth="1"/>
    <col min="14850" max="14850" width="25" customWidth="1"/>
    <col min="14851" max="14851" width="13.140625" customWidth="1"/>
    <col min="14852" max="14852" width="5.7109375" customWidth="1"/>
    <col min="14853" max="14853" width="5.85546875" customWidth="1"/>
    <col min="14854" max="14854" width="1.7109375" customWidth="1"/>
    <col min="14861" max="14861" width="1.85546875" customWidth="1"/>
    <col min="14874" max="14874" width="14" customWidth="1"/>
    <col min="14875" max="14875" width="16.28515625" customWidth="1"/>
    <col min="14880" max="14880" width="8.85546875" customWidth="1"/>
    <col min="14881" max="14881" width="12.7109375" customWidth="1"/>
    <col min="14884" max="14884" width="18.140625" customWidth="1"/>
    <col min="15105" max="15105" width="6.85546875" customWidth="1"/>
    <col min="15106" max="15106" width="25" customWidth="1"/>
    <col min="15107" max="15107" width="13.140625" customWidth="1"/>
    <col min="15108" max="15108" width="5.7109375" customWidth="1"/>
    <col min="15109" max="15109" width="5.85546875" customWidth="1"/>
    <col min="15110" max="15110" width="1.7109375" customWidth="1"/>
    <col min="15117" max="15117" width="1.85546875" customWidth="1"/>
    <col min="15130" max="15130" width="14" customWidth="1"/>
    <col min="15131" max="15131" width="16.28515625" customWidth="1"/>
    <col min="15136" max="15136" width="8.85546875" customWidth="1"/>
    <col min="15137" max="15137" width="12.7109375" customWidth="1"/>
    <col min="15140" max="15140" width="18.140625" customWidth="1"/>
    <col min="15361" max="15361" width="6.85546875" customWidth="1"/>
    <col min="15362" max="15362" width="25" customWidth="1"/>
    <col min="15363" max="15363" width="13.140625" customWidth="1"/>
    <col min="15364" max="15364" width="5.7109375" customWidth="1"/>
    <col min="15365" max="15365" width="5.85546875" customWidth="1"/>
    <col min="15366" max="15366" width="1.7109375" customWidth="1"/>
    <col min="15373" max="15373" width="1.85546875" customWidth="1"/>
    <col min="15386" max="15386" width="14" customWidth="1"/>
    <col min="15387" max="15387" width="16.28515625" customWidth="1"/>
    <col min="15392" max="15392" width="8.85546875" customWidth="1"/>
    <col min="15393" max="15393" width="12.7109375" customWidth="1"/>
    <col min="15396" max="15396" width="18.140625" customWidth="1"/>
    <col min="15617" max="15617" width="6.85546875" customWidth="1"/>
    <col min="15618" max="15618" width="25" customWidth="1"/>
    <col min="15619" max="15619" width="13.140625" customWidth="1"/>
    <col min="15620" max="15620" width="5.7109375" customWidth="1"/>
    <col min="15621" max="15621" width="5.85546875" customWidth="1"/>
    <col min="15622" max="15622" width="1.7109375" customWidth="1"/>
    <col min="15629" max="15629" width="1.85546875" customWidth="1"/>
    <col min="15642" max="15642" width="14" customWidth="1"/>
    <col min="15643" max="15643" width="16.28515625" customWidth="1"/>
    <col min="15648" max="15648" width="8.85546875" customWidth="1"/>
    <col min="15649" max="15649" width="12.7109375" customWidth="1"/>
    <col min="15652" max="15652" width="18.140625" customWidth="1"/>
    <col min="15873" max="15873" width="6.85546875" customWidth="1"/>
    <col min="15874" max="15874" width="25" customWidth="1"/>
    <col min="15875" max="15875" width="13.140625" customWidth="1"/>
    <col min="15876" max="15876" width="5.7109375" customWidth="1"/>
    <col min="15877" max="15877" width="5.85546875" customWidth="1"/>
    <col min="15878" max="15878" width="1.7109375" customWidth="1"/>
    <col min="15885" max="15885" width="1.85546875" customWidth="1"/>
    <col min="15898" max="15898" width="14" customWidth="1"/>
    <col min="15899" max="15899" width="16.28515625" customWidth="1"/>
    <col min="15904" max="15904" width="8.85546875" customWidth="1"/>
    <col min="15905" max="15905" width="12.7109375" customWidth="1"/>
    <col min="15908" max="15908" width="18.140625" customWidth="1"/>
    <col min="16129" max="16129" width="6.85546875" customWidth="1"/>
    <col min="16130" max="16130" width="25" customWidth="1"/>
    <col min="16131" max="16131" width="13.140625" customWidth="1"/>
    <col min="16132" max="16132" width="5.7109375" customWidth="1"/>
    <col min="16133" max="16133" width="5.85546875" customWidth="1"/>
    <col min="16134" max="16134" width="1.7109375" customWidth="1"/>
    <col min="16141" max="16141" width="1.85546875" customWidth="1"/>
    <col min="16154" max="16154" width="14" customWidth="1"/>
    <col min="16155" max="16155" width="16.28515625" customWidth="1"/>
    <col min="16160" max="16160" width="8.85546875" customWidth="1"/>
    <col min="16161" max="16161" width="12.7109375" customWidth="1"/>
    <col min="16164" max="16164" width="18.140625" customWidth="1"/>
  </cols>
  <sheetData>
    <row r="1" spans="1:38" ht="6" customHeight="1" x14ac:dyDescent="0.25"/>
    <row r="2" spans="1:38" ht="12" customHeight="1" thickBot="1" x14ac:dyDescent="0.3">
      <c r="A2" s="184" t="s">
        <v>154</v>
      </c>
      <c r="B2" s="185" t="s">
        <v>155</v>
      </c>
      <c r="C2" s="186"/>
      <c r="D2" s="186"/>
      <c r="G2" s="7" t="s">
        <v>156</v>
      </c>
      <c r="N2" s="7" t="s">
        <v>157</v>
      </c>
    </row>
    <row r="3" spans="1:38" ht="12" customHeight="1" x14ac:dyDescent="0.25">
      <c r="A3" s="186"/>
      <c r="B3" s="187" t="s">
        <v>30</v>
      </c>
      <c r="C3" s="188" t="str">
        <f>[1]Field!D9</f>
        <v>Silt Loam</v>
      </c>
      <c r="D3" s="189"/>
      <c r="G3" s="307" t="s">
        <v>158</v>
      </c>
      <c r="H3" s="329"/>
      <c r="I3" s="329"/>
      <c r="J3" s="329"/>
      <c r="K3" s="329"/>
      <c r="L3" s="330"/>
      <c r="N3" s="307" t="str">
        <f>IF(C7="","",IF(C7&lt;E5,AL3,AL4))</f>
        <v>Optimum or above optimum infiltration: soils are well maintained. Check measurements for above optimum flows and be careful that deep percolation and/or groundwater flows are not interferring with neighboring irrigation water management or river basin salinity problems.</v>
      </c>
      <c r="O3" s="340"/>
      <c r="P3" s="340"/>
      <c r="Q3" s="340"/>
      <c r="R3" s="340"/>
      <c r="S3" s="341"/>
      <c r="AA3" s="190" t="s">
        <v>159</v>
      </c>
      <c r="AB3" s="190" t="s">
        <v>160</v>
      </c>
      <c r="AC3" s="190"/>
      <c r="AD3">
        <v>1</v>
      </c>
      <c r="AE3" t="s">
        <v>161</v>
      </c>
      <c r="AF3" t="s">
        <v>162</v>
      </c>
      <c r="AG3">
        <v>3</v>
      </c>
      <c r="AH3" t="s">
        <v>163</v>
      </c>
      <c r="AI3">
        <v>3.5</v>
      </c>
      <c r="AJ3" t="s">
        <v>164</v>
      </c>
      <c r="AK3" t="s">
        <v>154</v>
      </c>
      <c r="AL3" s="191" t="s">
        <v>165</v>
      </c>
    </row>
    <row r="4" spans="1:38" ht="12" customHeight="1" x14ac:dyDescent="0.25">
      <c r="A4" s="186">
        <f>IF(C4="","",IF(C4=AB4,2,IF(C4=AC4,3,"")))</f>
        <v>2</v>
      </c>
      <c r="B4" s="192" t="s">
        <v>166</v>
      </c>
      <c r="C4" s="193" t="s">
        <v>167</v>
      </c>
      <c r="D4" s="194"/>
      <c r="G4" s="331"/>
      <c r="H4" s="332"/>
      <c r="I4" s="332"/>
      <c r="J4" s="332"/>
      <c r="K4" s="332"/>
      <c r="L4" s="333"/>
      <c r="N4" s="342"/>
      <c r="O4" s="343"/>
      <c r="P4" s="343"/>
      <c r="Q4" s="343"/>
      <c r="R4" s="343"/>
      <c r="S4" s="344"/>
      <c r="AA4" s="190"/>
      <c r="AB4" s="190" t="s">
        <v>167</v>
      </c>
      <c r="AC4" s="190" t="s">
        <v>168</v>
      </c>
      <c r="AD4">
        <v>1.5</v>
      </c>
      <c r="AE4">
        <v>1</v>
      </c>
      <c r="AF4" t="s">
        <v>169</v>
      </c>
      <c r="AG4">
        <v>4</v>
      </c>
      <c r="AH4" t="s">
        <v>170</v>
      </c>
      <c r="AI4">
        <v>7</v>
      </c>
      <c r="AJ4" t="s">
        <v>171</v>
      </c>
      <c r="AL4" t="s">
        <v>172</v>
      </c>
    </row>
    <row r="5" spans="1:38" ht="12" customHeight="1" x14ac:dyDescent="0.25">
      <c r="A5" s="186"/>
      <c r="B5" s="192" t="s">
        <v>173</v>
      </c>
      <c r="C5" s="195">
        <f>VLOOKUP(C3,AA5:AC13,A4,FALSE)</f>
        <v>0.5</v>
      </c>
      <c r="D5" s="194" t="s">
        <v>174</v>
      </c>
      <c r="E5">
        <f>C5-C5*Qerr/100</f>
        <v>0.42499999999999999</v>
      </c>
      <c r="G5" s="331"/>
      <c r="H5" s="332"/>
      <c r="I5" s="332"/>
      <c r="J5" s="332"/>
      <c r="K5" s="332"/>
      <c r="L5" s="333"/>
      <c r="N5" s="342"/>
      <c r="O5" s="343"/>
      <c r="P5" s="343"/>
      <c r="Q5" s="343"/>
      <c r="R5" s="343"/>
      <c r="S5" s="344"/>
      <c r="AA5" s="196" t="s">
        <v>111</v>
      </c>
      <c r="AB5" s="197">
        <v>1.25</v>
      </c>
      <c r="AC5" s="197">
        <v>1</v>
      </c>
      <c r="AD5">
        <v>2</v>
      </c>
      <c r="AE5">
        <v>1.5</v>
      </c>
      <c r="AF5" t="s">
        <v>175</v>
      </c>
      <c r="AG5">
        <v>5</v>
      </c>
      <c r="AH5" t="s">
        <v>176</v>
      </c>
      <c r="AI5">
        <v>10.5</v>
      </c>
      <c r="AJ5" t="s">
        <v>177</v>
      </c>
    </row>
    <row r="6" spans="1:38" ht="12" customHeight="1" x14ac:dyDescent="0.25">
      <c r="A6" s="186"/>
      <c r="B6" s="192"/>
      <c r="C6" s="198"/>
      <c r="D6" s="194"/>
      <c r="E6">
        <f>C5+Qerr/100*C5</f>
        <v>0.57499999999999996</v>
      </c>
      <c r="G6" s="331"/>
      <c r="H6" s="332"/>
      <c r="I6" s="332"/>
      <c r="J6" s="332"/>
      <c r="K6" s="332"/>
      <c r="L6" s="333"/>
      <c r="N6" s="342"/>
      <c r="O6" s="343"/>
      <c r="P6" s="343"/>
      <c r="Q6" s="343"/>
      <c r="R6" s="343"/>
      <c r="S6" s="344"/>
      <c r="AA6" s="196" t="s">
        <v>113</v>
      </c>
      <c r="AB6" s="197">
        <v>0.94</v>
      </c>
      <c r="AC6" s="197">
        <v>0.75</v>
      </c>
      <c r="AE6">
        <v>2</v>
      </c>
      <c r="AF6" t="s">
        <v>178</v>
      </c>
      <c r="AG6">
        <v>6</v>
      </c>
      <c r="AH6" t="s">
        <v>179</v>
      </c>
      <c r="AI6">
        <v>14</v>
      </c>
      <c r="AJ6" t="s">
        <v>180</v>
      </c>
      <c r="AK6" t="s">
        <v>181</v>
      </c>
      <c r="AL6" t="s">
        <v>182</v>
      </c>
    </row>
    <row r="7" spans="1:38" ht="12" customHeight="1" x14ac:dyDescent="0.25">
      <c r="A7" s="186"/>
      <c r="B7" s="192" t="s">
        <v>183</v>
      </c>
      <c r="C7" s="199">
        <f>IF([1]Field!D34&lt;=0,0,[1]Field!D34)</f>
        <v>0.61882319829829191</v>
      </c>
      <c r="D7" s="194" t="s">
        <v>148</v>
      </c>
      <c r="G7" s="334"/>
      <c r="H7" s="335"/>
      <c r="I7" s="335"/>
      <c r="J7" s="335"/>
      <c r="K7" s="335"/>
      <c r="L7" s="336"/>
      <c r="N7" s="342"/>
      <c r="O7" s="343"/>
      <c r="P7" s="343"/>
      <c r="Q7" s="343"/>
      <c r="R7" s="343"/>
      <c r="S7" s="344"/>
      <c r="AA7" s="196" t="s">
        <v>114</v>
      </c>
      <c r="AB7" s="197">
        <v>0.75</v>
      </c>
      <c r="AC7" s="197">
        <v>0.6</v>
      </c>
      <c r="AE7">
        <v>2.5</v>
      </c>
      <c r="AF7" t="s">
        <v>184</v>
      </c>
      <c r="AG7">
        <v>7</v>
      </c>
      <c r="AH7" t="s">
        <v>185</v>
      </c>
      <c r="AI7">
        <v>21</v>
      </c>
      <c r="AJ7" t="s">
        <v>186</v>
      </c>
      <c r="AL7" t="s">
        <v>187</v>
      </c>
    </row>
    <row r="8" spans="1:38" ht="12" customHeight="1" x14ac:dyDescent="0.25">
      <c r="A8" s="186"/>
      <c r="B8" s="192"/>
      <c r="C8" s="200"/>
      <c r="D8" s="194"/>
      <c r="G8" s="334"/>
      <c r="H8" s="335"/>
      <c r="I8" s="335"/>
      <c r="J8" s="335"/>
      <c r="K8" s="335"/>
      <c r="L8" s="336"/>
      <c r="N8" s="342"/>
      <c r="O8" s="343"/>
      <c r="P8" s="343"/>
      <c r="Q8" s="343"/>
      <c r="R8" s="343"/>
      <c r="S8" s="344"/>
      <c r="AA8" s="196" t="s">
        <v>115</v>
      </c>
      <c r="AB8" s="197">
        <v>0.63</v>
      </c>
      <c r="AC8" s="197">
        <v>0.5</v>
      </c>
      <c r="AE8">
        <v>3</v>
      </c>
      <c r="AG8">
        <v>8</v>
      </c>
    </row>
    <row r="9" spans="1:38" ht="12" customHeight="1" x14ac:dyDescent="0.25">
      <c r="A9" s="186"/>
      <c r="B9" s="192"/>
      <c r="C9" s="198"/>
      <c r="D9" s="194"/>
      <c r="G9" s="334"/>
      <c r="H9" s="335"/>
      <c r="I9" s="335"/>
      <c r="J9" s="335"/>
      <c r="K9" s="335"/>
      <c r="L9" s="336"/>
      <c r="N9" s="342"/>
      <c r="O9" s="343"/>
      <c r="P9" s="343"/>
      <c r="Q9" s="343"/>
      <c r="R9" s="343"/>
      <c r="S9" s="344"/>
      <c r="AA9" s="196" t="s">
        <v>117</v>
      </c>
      <c r="AB9" s="201">
        <v>0.32</v>
      </c>
      <c r="AC9" s="201">
        <v>0.26</v>
      </c>
      <c r="AE9">
        <v>3.5</v>
      </c>
      <c r="AG9" s="23" t="s">
        <v>188</v>
      </c>
      <c r="AJ9" t="s">
        <v>189</v>
      </c>
      <c r="AL9" t="s">
        <v>190</v>
      </c>
    </row>
    <row r="10" spans="1:38" ht="12" customHeight="1" thickBot="1" x14ac:dyDescent="0.3">
      <c r="A10" s="186"/>
      <c r="B10" s="202"/>
      <c r="C10" s="203"/>
      <c r="D10" s="204"/>
      <c r="G10" s="337"/>
      <c r="H10" s="338"/>
      <c r="I10" s="338"/>
      <c r="J10" s="338"/>
      <c r="K10" s="338"/>
      <c r="L10" s="339"/>
      <c r="N10" s="304"/>
      <c r="O10" s="305"/>
      <c r="P10" s="305"/>
      <c r="Q10" s="305"/>
      <c r="R10" s="305"/>
      <c r="S10" s="306"/>
      <c r="AA10" s="196" t="s">
        <v>119</v>
      </c>
      <c r="AB10" s="197">
        <v>0.54</v>
      </c>
      <c r="AC10" s="197">
        <v>0.43</v>
      </c>
      <c r="AE10">
        <v>4</v>
      </c>
      <c r="AJ10" t="s">
        <v>191</v>
      </c>
      <c r="AL10" t="s">
        <v>192</v>
      </c>
    </row>
    <row r="11" spans="1:38" ht="12" customHeight="1" thickBot="1" x14ac:dyDescent="0.3">
      <c r="A11" s="186"/>
      <c r="B11" s="186"/>
      <c r="C11" s="205"/>
      <c r="D11" s="186"/>
      <c r="AA11" s="196" t="s">
        <v>31</v>
      </c>
      <c r="AB11" s="197">
        <v>0.5</v>
      </c>
      <c r="AC11" s="197">
        <v>0.4</v>
      </c>
      <c r="AE11" t="s">
        <v>193</v>
      </c>
      <c r="AG11" t="s">
        <v>194</v>
      </c>
      <c r="AJ11" t="s">
        <v>180</v>
      </c>
    </row>
    <row r="12" spans="1:38" ht="12" customHeight="1" x14ac:dyDescent="0.25">
      <c r="A12" s="184" t="s">
        <v>181</v>
      </c>
      <c r="B12" s="187" t="s">
        <v>24</v>
      </c>
      <c r="C12" s="188" t="str">
        <f>VLOOKUP([1]Field!D8,[1]Seasonal!Z25:AA35,2,FALSE)</f>
        <v>grass</v>
      </c>
      <c r="D12" s="189"/>
      <c r="G12" s="307" t="s">
        <v>195</v>
      </c>
      <c r="H12" s="340"/>
      <c r="I12" s="340"/>
      <c r="J12" s="340"/>
      <c r="K12" s="340"/>
      <c r="L12" s="341"/>
      <c r="N12" s="307" t="str">
        <f>IF(C14="","",IF(C14&gt;C13,AL6,AL7))</f>
        <v>Shallow hardpan layer: the available root zone is less than the planted crop needs for healthy growth. Recommendations: 1. plant a hardy shallow rooting crop like grass hay; 2 minimize trash removal to build organic matter; 3 avoid deep rooting crops like alfalfa.</v>
      </c>
      <c r="O12" s="340"/>
      <c r="P12" s="340"/>
      <c r="Q12" s="340"/>
      <c r="R12" s="340"/>
      <c r="S12" s="341"/>
      <c r="AA12" s="196" t="s">
        <v>121</v>
      </c>
      <c r="AB12" s="197">
        <v>0.25</v>
      </c>
      <c r="AC12" s="197">
        <v>0.2</v>
      </c>
      <c r="AE12" t="s">
        <v>196</v>
      </c>
      <c r="AG12" t="s">
        <v>197</v>
      </c>
      <c r="AJ12" t="s">
        <v>186</v>
      </c>
    </row>
    <row r="13" spans="1:38" ht="12" customHeight="1" x14ac:dyDescent="0.25">
      <c r="A13" s="186"/>
      <c r="B13" s="192" t="s">
        <v>198</v>
      </c>
      <c r="C13" s="193">
        <v>1</v>
      </c>
      <c r="D13" s="194" t="s">
        <v>28</v>
      </c>
      <c r="G13" s="342"/>
      <c r="H13" s="343"/>
      <c r="I13" s="343"/>
      <c r="J13" s="343"/>
      <c r="K13" s="343"/>
      <c r="L13" s="344"/>
      <c r="N13" s="342"/>
      <c r="O13" s="343"/>
      <c r="P13" s="343"/>
      <c r="Q13" s="343"/>
      <c r="R13" s="343"/>
      <c r="S13" s="344"/>
      <c r="AA13" s="196" t="s">
        <v>122</v>
      </c>
      <c r="AB13" s="197">
        <v>0.13</v>
      </c>
      <c r="AC13" s="197">
        <v>0.1</v>
      </c>
      <c r="AG13" t="s">
        <v>199</v>
      </c>
    </row>
    <row r="14" spans="1:38" ht="12" customHeight="1" x14ac:dyDescent="0.25">
      <c r="A14" s="186"/>
      <c r="B14" s="192" t="s">
        <v>200</v>
      </c>
      <c r="C14" s="195">
        <f>[1]Field!E8/12</f>
        <v>2</v>
      </c>
      <c r="D14" s="194" t="s">
        <v>28</v>
      </c>
      <c r="G14" s="342"/>
      <c r="H14" s="343"/>
      <c r="I14" s="343"/>
      <c r="J14" s="343"/>
      <c r="K14" s="343"/>
      <c r="L14" s="344"/>
      <c r="N14" s="342"/>
      <c r="O14" s="343"/>
      <c r="P14" s="343"/>
      <c r="Q14" s="343"/>
      <c r="R14" s="343"/>
      <c r="S14" s="344"/>
      <c r="AA14" s="206" t="s">
        <v>201</v>
      </c>
      <c r="AL14" t="s">
        <v>202</v>
      </c>
    </row>
    <row r="15" spans="1:38" ht="12" customHeight="1" x14ac:dyDescent="0.25">
      <c r="A15" s="186"/>
      <c r="B15" s="192"/>
      <c r="C15" s="198"/>
      <c r="D15" s="194"/>
      <c r="G15" s="322"/>
      <c r="H15" s="323"/>
      <c r="I15" s="323"/>
      <c r="J15" s="323"/>
      <c r="K15" s="323"/>
      <c r="L15" s="324"/>
      <c r="N15" s="342"/>
      <c r="O15" s="343"/>
      <c r="P15" s="343"/>
      <c r="Q15" s="343"/>
      <c r="R15" s="343"/>
      <c r="S15" s="344"/>
      <c r="AG15" t="s">
        <v>203</v>
      </c>
      <c r="AH15" t="s">
        <v>204</v>
      </c>
      <c r="AL15" t="s">
        <v>205</v>
      </c>
    </row>
    <row r="16" spans="1:38" ht="12" customHeight="1" x14ac:dyDescent="0.25">
      <c r="A16" s="186"/>
      <c r="B16" s="192" t="s">
        <v>206</v>
      </c>
      <c r="C16" s="193" t="s">
        <v>169</v>
      </c>
      <c r="D16" s="194"/>
      <c r="G16" s="307" t="s">
        <v>207</v>
      </c>
      <c r="H16" s="345"/>
      <c r="I16" s="345"/>
      <c r="J16" s="345"/>
      <c r="K16" s="345"/>
      <c r="L16" s="346"/>
      <c r="N16" s="307" t="str">
        <f>IF(C16="","",IF(C16&lt;&gt;AF3,IF(C16&lt;&gt;AF4,AL9,AL10),AL10))</f>
        <v>Even grade field: is a good foundation for effective irrigation. It's important that topography is accounted for with sufficient line pressure.</v>
      </c>
      <c r="O16" s="340"/>
      <c r="P16" s="340"/>
      <c r="Q16" s="340"/>
      <c r="R16" s="340"/>
      <c r="S16" s="341"/>
    </row>
    <row r="17" spans="1:42" ht="12" customHeight="1" x14ac:dyDescent="0.25">
      <c r="A17" s="186"/>
      <c r="B17" s="192"/>
      <c r="C17" s="207"/>
      <c r="D17" s="194"/>
      <c r="G17" s="347"/>
      <c r="H17" s="348"/>
      <c r="I17" s="348"/>
      <c r="J17" s="348"/>
      <c r="K17" s="348"/>
      <c r="L17" s="349"/>
      <c r="N17" s="342"/>
      <c r="O17" s="343"/>
      <c r="P17" s="343"/>
      <c r="Q17" s="343"/>
      <c r="R17" s="343"/>
      <c r="S17" s="344"/>
    </row>
    <row r="18" spans="1:42" ht="12" customHeight="1" thickBot="1" x14ac:dyDescent="0.3">
      <c r="A18" s="186"/>
      <c r="B18" s="202"/>
      <c r="C18" s="203"/>
      <c r="D18" s="204"/>
      <c r="G18" s="304"/>
      <c r="H18" s="305"/>
      <c r="I18" s="305"/>
      <c r="J18" s="305"/>
      <c r="K18" s="305"/>
      <c r="L18" s="306"/>
      <c r="N18" s="304"/>
      <c r="O18" s="305"/>
      <c r="P18" s="305"/>
      <c r="Q18" s="305"/>
      <c r="R18" s="305"/>
      <c r="S18" s="306"/>
      <c r="AH18" t="s">
        <v>208</v>
      </c>
    </row>
    <row r="19" spans="1:42" ht="12" customHeight="1" thickBot="1" x14ac:dyDescent="0.3">
      <c r="A19" s="186"/>
      <c r="B19" s="186"/>
      <c r="C19" s="205"/>
      <c r="D19" s="186"/>
      <c r="AL19" t="s">
        <v>209</v>
      </c>
    </row>
    <row r="20" spans="1:42" ht="12" customHeight="1" x14ac:dyDescent="0.25">
      <c r="A20" s="184" t="s">
        <v>210</v>
      </c>
      <c r="B20" s="187" t="s">
        <v>67</v>
      </c>
      <c r="C20" s="208">
        <f>[1]Field!D29</f>
        <v>0.49670048960476831</v>
      </c>
      <c r="D20" s="189">
        <f>IF([1]Snapshot!U28&lt;([1]Snapshot!F28-(0.35*[1]Snapshot!U28)),1,0)</f>
        <v>1</v>
      </c>
      <c r="G20" s="307" t="s">
        <v>211</v>
      </c>
      <c r="H20" s="308"/>
      <c r="I20" s="308"/>
      <c r="J20" s="308"/>
      <c r="K20" s="308"/>
      <c r="L20" s="309"/>
      <c r="N20" s="307" t="str">
        <f>IF(C20&lt;0.5,IF(D20=1,AL15,AL14),#REF!)</f>
        <v>Poor DU (&lt;50%) Application Rate at end heads is lower than middle. Recommend: address supply problem - line/nozzle size or (pump) pressure</v>
      </c>
      <c r="O20" s="308"/>
      <c r="P20" s="308"/>
      <c r="Q20" s="308"/>
      <c r="R20" s="308"/>
      <c r="S20" s="309"/>
      <c r="AH20" t="s">
        <v>212</v>
      </c>
      <c r="AL20" t="s">
        <v>213</v>
      </c>
    </row>
    <row r="21" spans="1:42" ht="12" customHeight="1" x14ac:dyDescent="0.25">
      <c r="A21" s="184"/>
      <c r="B21" s="192" t="s">
        <v>214</v>
      </c>
      <c r="C21" s="193" t="s">
        <v>171</v>
      </c>
      <c r="D21" s="209">
        <f>IF(C21=AJ12,0,IF(C21=AJ11,2,1))</f>
        <v>1</v>
      </c>
      <c r="G21" s="310"/>
      <c r="H21" s="311"/>
      <c r="I21" s="311"/>
      <c r="J21" s="311"/>
      <c r="K21" s="311"/>
      <c r="L21" s="312"/>
      <c r="N21" s="310"/>
      <c r="O21" s="316"/>
      <c r="P21" s="316"/>
      <c r="Q21" s="316"/>
      <c r="R21" s="316"/>
      <c r="S21" s="312"/>
    </row>
    <row r="22" spans="1:42" ht="12" customHeight="1" x14ac:dyDescent="0.25">
      <c r="A22" s="184"/>
      <c r="B22" s="192" t="s">
        <v>215</v>
      </c>
      <c r="C22" s="193" t="s">
        <v>189</v>
      </c>
      <c r="D22" s="209">
        <f>IF(C22=AJ17,0,IF(C22=AJ16,2,1))</f>
        <v>1</v>
      </c>
      <c r="G22" s="310"/>
      <c r="H22" s="311"/>
      <c r="I22" s="311"/>
      <c r="J22" s="311"/>
      <c r="K22" s="311"/>
      <c r="L22" s="312"/>
      <c r="N22" s="310"/>
      <c r="O22" s="316"/>
      <c r="P22" s="316"/>
      <c r="Q22" s="316"/>
      <c r="R22" s="316"/>
      <c r="S22" s="312"/>
    </row>
    <row r="23" spans="1:42" ht="12" customHeight="1" x14ac:dyDescent="0.25">
      <c r="A23" s="184"/>
      <c r="B23" s="192"/>
      <c r="C23" s="210"/>
      <c r="D23" s="194"/>
      <c r="G23" s="310"/>
      <c r="H23" s="311"/>
      <c r="I23" s="311"/>
      <c r="J23" s="311"/>
      <c r="K23" s="311"/>
      <c r="L23" s="312"/>
      <c r="N23" s="310"/>
      <c r="O23" s="316"/>
      <c r="P23" s="316"/>
      <c r="Q23" s="316"/>
      <c r="R23" s="316"/>
      <c r="S23" s="312"/>
    </row>
    <row r="24" spans="1:42" ht="12" customHeight="1" thickBot="1" x14ac:dyDescent="0.3">
      <c r="A24" s="186"/>
      <c r="B24" s="192" t="s">
        <v>216</v>
      </c>
      <c r="C24" s="195">
        <f>[1]Field!C23</f>
        <v>11.5</v>
      </c>
      <c r="D24" s="194"/>
      <c r="G24" s="310"/>
      <c r="H24" s="311"/>
      <c r="I24" s="311"/>
      <c r="J24" s="311"/>
      <c r="K24" s="311"/>
      <c r="L24" s="312"/>
      <c r="N24" s="313"/>
      <c r="O24" s="314"/>
      <c r="P24" s="314"/>
      <c r="Q24" s="314"/>
      <c r="R24" s="314"/>
      <c r="S24" s="315"/>
      <c r="AA24" s="211" t="s">
        <v>217</v>
      </c>
      <c r="AB24" t="s">
        <v>218</v>
      </c>
      <c r="AC24" t="s">
        <v>219</v>
      </c>
      <c r="AD24" t="s">
        <v>220</v>
      </c>
      <c r="AE24" t="s">
        <v>221</v>
      </c>
      <c r="AF24" t="s">
        <v>222</v>
      </c>
      <c r="AH24" t="s">
        <v>223</v>
      </c>
      <c r="AL24" t="s">
        <v>224</v>
      </c>
    </row>
    <row r="25" spans="1:42" ht="12" customHeight="1" x14ac:dyDescent="0.25">
      <c r="A25" s="186"/>
      <c r="B25" s="192" t="s">
        <v>225</v>
      </c>
      <c r="C25" s="212">
        <v>2</v>
      </c>
      <c r="D25" s="194">
        <f>IF(B27=AL36,IF(C25&lt;&gt;2,2,0),IF(B27&lt;&gt;AL36,IF(C25=2,1,0),0))</f>
        <v>1</v>
      </c>
      <c r="G25" s="310"/>
      <c r="H25" s="311"/>
      <c r="I25" s="311"/>
      <c r="J25" s="311"/>
      <c r="K25" s="311"/>
      <c r="L25" s="312"/>
      <c r="N25" s="13"/>
      <c r="O25" s="13"/>
      <c r="P25" s="13"/>
      <c r="Q25" s="13"/>
      <c r="R25" s="13"/>
      <c r="S25" s="13"/>
      <c r="Z25" s="213" t="s">
        <v>25</v>
      </c>
      <c r="AA25" s="214" t="s">
        <v>226</v>
      </c>
      <c r="AB25" s="214">
        <v>232</v>
      </c>
      <c r="AC25" s="215">
        <f>AB25/7</f>
        <v>33.142857142857146</v>
      </c>
      <c r="AD25" s="214">
        <v>3.99</v>
      </c>
      <c r="AE25" s="214">
        <v>31.44</v>
      </c>
      <c r="AF25" s="216">
        <f>AE25-AD25</f>
        <v>27.450000000000003</v>
      </c>
      <c r="AL25" t="s">
        <v>227</v>
      </c>
    </row>
    <row r="26" spans="1:42" ht="12" customHeight="1" x14ac:dyDescent="0.25">
      <c r="A26" s="186"/>
      <c r="B26" s="192" t="s">
        <v>228</v>
      </c>
      <c r="C26" s="207"/>
      <c r="D26" s="194"/>
      <c r="G26" s="310"/>
      <c r="H26" s="311"/>
      <c r="I26" s="311"/>
      <c r="J26" s="311"/>
      <c r="K26" s="311"/>
      <c r="L26" s="312"/>
      <c r="N26" s="307" t="str">
        <f>"Additional DU recommendations: "&amp;IF(C20&lt;0.5,IF(D25=2,AL40,IF(D25=1,AL41,"")),"")</f>
        <v>Additional DU recommendations: Need less distance between moves (69ft) for every move across field technique</v>
      </c>
      <c r="O26" s="317"/>
      <c r="P26" s="317"/>
      <c r="Q26" s="317"/>
      <c r="R26" s="317"/>
      <c r="S26" s="318"/>
      <c r="Z26" s="217" t="s">
        <v>87</v>
      </c>
      <c r="AA26" s="197" t="s">
        <v>229</v>
      </c>
      <c r="AB26" s="197">
        <v>217</v>
      </c>
      <c r="AC26" s="218">
        <f t="shared" ref="AC26:AC35" si="0">AB26/7</f>
        <v>31</v>
      </c>
      <c r="AD26" s="197">
        <v>3.98</v>
      </c>
      <c r="AE26" s="197">
        <v>36.22</v>
      </c>
      <c r="AF26" s="219">
        <f t="shared" ref="AF26:AF35" si="1">AE26-AD26</f>
        <v>32.24</v>
      </c>
      <c r="AL26" t="s">
        <v>230</v>
      </c>
      <c r="AP26" t="s">
        <v>231</v>
      </c>
    </row>
    <row r="27" spans="1:42" ht="12" customHeight="1" x14ac:dyDescent="0.25">
      <c r="A27" s="186"/>
      <c r="B27" s="325" t="s">
        <v>232</v>
      </c>
      <c r="C27" s="326"/>
      <c r="D27" s="194"/>
      <c r="G27" s="310"/>
      <c r="H27" s="311"/>
      <c r="I27" s="311"/>
      <c r="J27" s="311"/>
      <c r="K27" s="311"/>
      <c r="L27" s="312"/>
      <c r="N27" s="319"/>
      <c r="O27" s="320"/>
      <c r="P27" s="320"/>
      <c r="Q27" s="320"/>
      <c r="R27" s="320"/>
      <c r="S27" s="321"/>
      <c r="Z27" s="217" t="str">
        <f>IF(AH$27=AH15,"Corn","")</f>
        <v>Corn</v>
      </c>
      <c r="AA27" s="197" t="s">
        <v>233</v>
      </c>
      <c r="AB27" s="197">
        <v>158</v>
      </c>
      <c r="AC27" s="218">
        <f t="shared" si="0"/>
        <v>22.571428571428573</v>
      </c>
      <c r="AD27" s="197">
        <v>2.87</v>
      </c>
      <c r="AE27" s="197">
        <v>25.12</v>
      </c>
      <c r="AF27" s="219">
        <f t="shared" si="1"/>
        <v>22.25</v>
      </c>
      <c r="AG27" s="23" t="s">
        <v>234</v>
      </c>
      <c r="AH27" s="38" t="s">
        <v>204</v>
      </c>
      <c r="AI27" s="38"/>
      <c r="AP27" t="s">
        <v>235</v>
      </c>
    </row>
    <row r="28" spans="1:42" ht="12" customHeight="1" thickBot="1" x14ac:dyDescent="0.3">
      <c r="A28" s="186"/>
      <c r="B28" s="327"/>
      <c r="C28" s="328"/>
      <c r="D28" s="204"/>
      <c r="G28" s="313"/>
      <c r="H28" s="314"/>
      <c r="I28" s="314"/>
      <c r="J28" s="314"/>
      <c r="K28" s="314"/>
      <c r="L28" s="315"/>
      <c r="N28" s="322"/>
      <c r="O28" s="323"/>
      <c r="P28" s="323"/>
      <c r="Q28" s="323"/>
      <c r="R28" s="323"/>
      <c r="S28" s="324"/>
      <c r="Z28" s="217" t="e">
        <f>IF(AH$27=#REF!,"Corn","")</f>
        <v>#REF!</v>
      </c>
      <c r="AA28" s="197" t="s">
        <v>236</v>
      </c>
      <c r="AB28" s="197">
        <v>133</v>
      </c>
      <c r="AC28" s="218">
        <f t="shared" si="0"/>
        <v>19</v>
      </c>
      <c r="AD28" s="197">
        <v>2.42</v>
      </c>
      <c r="AE28" s="220">
        <v>22.67</v>
      </c>
      <c r="AF28" s="219">
        <f t="shared" si="1"/>
        <v>20.25</v>
      </c>
      <c r="AG28" s="23"/>
      <c r="AL28" t="s">
        <v>237</v>
      </c>
    </row>
    <row r="29" spans="1:42" ht="12" customHeight="1" thickBot="1" x14ac:dyDescent="0.3">
      <c r="A29" s="186"/>
      <c r="B29" s="186"/>
      <c r="C29" s="186"/>
      <c r="D29" s="186"/>
      <c r="Z29" s="221" t="e">
        <f>IF(AH$29=#REF!,"Small Grains","")</f>
        <v>#REF!</v>
      </c>
      <c r="AA29" s="197" t="s">
        <v>238</v>
      </c>
      <c r="AB29" s="197">
        <v>112</v>
      </c>
      <c r="AC29" s="218">
        <f t="shared" si="0"/>
        <v>16</v>
      </c>
      <c r="AD29" s="197">
        <v>2.56</v>
      </c>
      <c r="AE29" s="197">
        <v>18.95</v>
      </c>
      <c r="AF29" s="219">
        <f t="shared" si="1"/>
        <v>16.39</v>
      </c>
      <c r="AG29" s="23" t="s">
        <v>239</v>
      </c>
      <c r="AH29" s="38" t="s">
        <v>240</v>
      </c>
      <c r="AI29" s="38"/>
    </row>
    <row r="30" spans="1:42" ht="12" customHeight="1" x14ac:dyDescent="0.25">
      <c r="A30" s="184" t="s">
        <v>241</v>
      </c>
      <c r="B30" s="187" t="s">
        <v>242</v>
      </c>
      <c r="C30" s="222" t="s">
        <v>179</v>
      </c>
      <c r="D30" s="189"/>
      <c r="G30" s="287" t="s">
        <v>243</v>
      </c>
      <c r="H30" s="288"/>
      <c r="I30" s="288"/>
      <c r="J30" s="288"/>
      <c r="K30" s="288"/>
      <c r="L30" s="289"/>
      <c r="N30" s="287" t="str">
        <f>IF(C33&lt;C34,AL25,IF(C35&lt;0.25,AL19,IF(C35&lt;0.35,AL20,AL24)))&amp;IF(C37=AG15," "&amp;AL26&amp;" "&amp;IF(C35&lt;0.35,AP27,AP26),"")</f>
        <v>Seasonal Irrigation Efficiency is good. Continue to monitor soil moisture and local ET values to enhance your irrigation management.</v>
      </c>
      <c r="O30" s="296"/>
      <c r="P30" s="296"/>
      <c r="Q30" s="296"/>
      <c r="R30" s="296"/>
      <c r="S30" s="297"/>
      <c r="Z30" s="217" t="str">
        <f>IF(AH$29=AH18,"Small Grains","")</f>
        <v/>
      </c>
      <c r="AA30" s="197" t="s">
        <v>244</v>
      </c>
      <c r="AB30" s="197">
        <v>122</v>
      </c>
      <c r="AC30" s="218">
        <f t="shared" si="0"/>
        <v>17.428571428571427</v>
      </c>
      <c r="AD30" s="197">
        <v>1.84</v>
      </c>
      <c r="AE30" s="197">
        <v>19.61</v>
      </c>
      <c r="AF30" s="219">
        <f t="shared" si="1"/>
        <v>17.77</v>
      </c>
      <c r="AG30" s="23"/>
    </row>
    <row r="31" spans="1:42" ht="12" customHeight="1" x14ac:dyDescent="0.25">
      <c r="A31" s="186"/>
      <c r="B31" s="192" t="s">
        <v>245</v>
      </c>
      <c r="C31" s="223">
        <f>VLOOKUP(C12,AA25:AB35,2,FALSE)</f>
        <v>232</v>
      </c>
      <c r="D31" s="194" t="s">
        <v>246</v>
      </c>
      <c r="G31" s="290"/>
      <c r="H31" s="291"/>
      <c r="I31" s="291"/>
      <c r="J31" s="291"/>
      <c r="K31" s="291"/>
      <c r="L31" s="292"/>
      <c r="N31" s="298"/>
      <c r="O31" s="299"/>
      <c r="P31" s="299"/>
      <c r="Q31" s="299"/>
      <c r="R31" s="299"/>
      <c r="S31" s="300"/>
      <c r="Z31" s="217" t="s">
        <v>94</v>
      </c>
      <c r="AA31" s="197" t="s">
        <v>247</v>
      </c>
      <c r="AB31" s="197">
        <v>107</v>
      </c>
      <c r="AC31" s="218">
        <f t="shared" si="0"/>
        <v>15.285714285714286</v>
      </c>
      <c r="AD31" s="197">
        <v>2.0699999999999998</v>
      </c>
      <c r="AE31" s="220">
        <v>19.93</v>
      </c>
      <c r="AF31" s="219">
        <f t="shared" si="1"/>
        <v>17.86</v>
      </c>
      <c r="AG31" s="23"/>
      <c r="AL31" t="s">
        <v>248</v>
      </c>
      <c r="AO31" t="s">
        <v>249</v>
      </c>
    </row>
    <row r="32" spans="1:42" ht="12" customHeight="1" x14ac:dyDescent="0.25">
      <c r="A32" s="186"/>
      <c r="B32" s="192" t="s">
        <v>250</v>
      </c>
      <c r="C32" s="223">
        <f>TRUNC(C31/VLOOKUP(C30,AH3:AI7,2,FALSE))</f>
        <v>16</v>
      </c>
      <c r="D32" s="194" t="s">
        <v>251</v>
      </c>
      <c r="G32" s="290"/>
      <c r="H32" s="291"/>
      <c r="I32" s="291"/>
      <c r="J32" s="291"/>
      <c r="K32" s="291"/>
      <c r="L32" s="292"/>
      <c r="N32" s="298"/>
      <c r="O32" s="299"/>
      <c r="P32" s="299"/>
      <c r="Q32" s="299"/>
      <c r="R32" s="299"/>
      <c r="S32" s="300"/>
      <c r="Z32" s="217" t="str">
        <f>IF(AH$32=AH20,"Orchard","")</f>
        <v>Orchard</v>
      </c>
      <c r="AA32" s="197" t="s">
        <v>252</v>
      </c>
      <c r="AB32" s="197">
        <v>192</v>
      </c>
      <c r="AC32" s="218">
        <f t="shared" si="0"/>
        <v>27.428571428571427</v>
      </c>
      <c r="AD32" s="197">
        <v>3.62</v>
      </c>
      <c r="AE32" s="197">
        <v>35</v>
      </c>
      <c r="AF32" s="219">
        <f t="shared" si="1"/>
        <v>31.38</v>
      </c>
      <c r="AG32" s="23" t="s">
        <v>253</v>
      </c>
      <c r="AH32" s="38" t="s">
        <v>212</v>
      </c>
      <c r="AI32" s="38"/>
      <c r="AO32" t="s">
        <v>254</v>
      </c>
    </row>
    <row r="33" spans="1:38" ht="12" customHeight="1" x14ac:dyDescent="0.25">
      <c r="A33" s="186"/>
      <c r="B33" s="192" t="s">
        <v>255</v>
      </c>
      <c r="C33" s="224">
        <f>C31/VLOOKUP(C30,AH3:AI7,2,FALSE)*IF([1]Field!M31&gt;[1]Field!D33,[1]Field!D33,[1]Field!M31)</f>
        <v>53.028571428571439</v>
      </c>
      <c r="D33" s="194" t="s">
        <v>256</v>
      </c>
      <c r="G33" s="290"/>
      <c r="H33" s="291"/>
      <c r="I33" s="291"/>
      <c r="J33" s="291"/>
      <c r="K33" s="291"/>
      <c r="L33" s="292"/>
      <c r="N33" s="298"/>
      <c r="O33" s="299"/>
      <c r="P33" s="299"/>
      <c r="Q33" s="299"/>
      <c r="R33" s="299"/>
      <c r="S33" s="300"/>
      <c r="Z33" s="217" t="str">
        <f>IF(AH$32=AH24,"Orchard","")</f>
        <v/>
      </c>
      <c r="AA33" s="197" t="s">
        <v>257</v>
      </c>
      <c r="AB33" s="197">
        <v>172</v>
      </c>
      <c r="AC33" s="218">
        <f t="shared" si="0"/>
        <v>24.571428571428573</v>
      </c>
      <c r="AD33" s="197">
        <v>3.01</v>
      </c>
      <c r="AE33" s="197">
        <v>25.71</v>
      </c>
      <c r="AF33" s="219">
        <f t="shared" si="1"/>
        <v>22.700000000000003</v>
      </c>
    </row>
    <row r="34" spans="1:38" ht="12" customHeight="1" x14ac:dyDescent="0.25">
      <c r="A34" s="186"/>
      <c r="B34" s="192" t="s">
        <v>258</v>
      </c>
      <c r="C34" s="223">
        <f>VLOOKUP(C12,AA25:AF35,6,FALSE)</f>
        <v>27.450000000000003</v>
      </c>
      <c r="D34" s="194" t="s">
        <v>256</v>
      </c>
      <c r="G34" s="290"/>
      <c r="H34" s="291"/>
      <c r="I34" s="291"/>
      <c r="J34" s="291"/>
      <c r="K34" s="291"/>
      <c r="L34" s="292"/>
      <c r="N34" s="298"/>
      <c r="O34" s="299"/>
      <c r="P34" s="299"/>
      <c r="Q34" s="299"/>
      <c r="R34" s="299"/>
      <c r="S34" s="300"/>
      <c r="Z34" s="225"/>
      <c r="AA34" s="197" t="s">
        <v>259</v>
      </c>
      <c r="AB34" s="197">
        <v>139</v>
      </c>
      <c r="AC34" s="218">
        <f t="shared" si="0"/>
        <v>19.857142857142858</v>
      </c>
      <c r="AD34" s="197">
        <v>2.13</v>
      </c>
      <c r="AE34" s="197">
        <v>18.059999999999999</v>
      </c>
      <c r="AF34" s="219">
        <f t="shared" si="1"/>
        <v>15.93</v>
      </c>
    </row>
    <row r="35" spans="1:38" ht="12" customHeight="1" thickBot="1" x14ac:dyDescent="0.3">
      <c r="A35" s="186"/>
      <c r="B35" s="192" t="s">
        <v>260</v>
      </c>
      <c r="C35" s="226">
        <f>IF(C34&gt;C33,"ET&gt;Irrig!",C34/C33)</f>
        <v>0.51764547413793094</v>
      </c>
      <c r="D35" s="194"/>
      <c r="E35">
        <f>[1]Field!D30-(Qerr/100*[1]Field!D30)</f>
        <v>0.72977175034589181</v>
      </c>
      <c r="G35" s="290"/>
      <c r="H35" s="291"/>
      <c r="I35" s="291"/>
      <c r="J35" s="291"/>
      <c r="K35" s="291"/>
      <c r="L35" s="292"/>
      <c r="N35" s="301"/>
      <c r="O35" s="302"/>
      <c r="P35" s="302"/>
      <c r="Q35" s="302"/>
      <c r="R35" s="302"/>
      <c r="S35" s="303"/>
      <c r="Z35" s="227" t="s">
        <v>100</v>
      </c>
      <c r="AA35" s="228" t="s">
        <v>100</v>
      </c>
      <c r="AB35" s="228">
        <v>153</v>
      </c>
      <c r="AC35" s="229">
        <f t="shared" si="0"/>
        <v>21.857142857142858</v>
      </c>
      <c r="AD35" s="228">
        <v>2.8</v>
      </c>
      <c r="AE35" s="228">
        <v>10</v>
      </c>
      <c r="AF35" s="230">
        <f t="shared" si="1"/>
        <v>7.2</v>
      </c>
      <c r="AL35" t="s">
        <v>232</v>
      </c>
    </row>
    <row r="36" spans="1:38" ht="12" customHeight="1" x14ac:dyDescent="0.25">
      <c r="A36" s="186"/>
      <c r="B36" s="192"/>
      <c r="C36" s="223"/>
      <c r="D36" s="194"/>
      <c r="E36">
        <f>[1]Field!D30+(Qerr/100*[1]Field!D30)</f>
        <v>0.9873382504679713</v>
      </c>
      <c r="G36" s="290"/>
      <c r="H36" s="291"/>
      <c r="I36" s="291"/>
      <c r="J36" s="291"/>
      <c r="K36" s="291"/>
      <c r="L36" s="292"/>
      <c r="AL36" t="s">
        <v>261</v>
      </c>
    </row>
    <row r="37" spans="1:38" ht="12" customHeight="1" thickBot="1" x14ac:dyDescent="0.3">
      <c r="A37" s="186"/>
      <c r="B37" s="202" t="str">
        <f>IF(C35&lt;E36,IF(C35&gt;E35,"",AL31),AL31)</f>
        <v>Evidence of crop stress?</v>
      </c>
      <c r="C37" s="231" t="s">
        <v>262</v>
      </c>
      <c r="D37" s="204"/>
      <c r="G37" s="290"/>
      <c r="H37" s="291"/>
      <c r="I37" s="291"/>
      <c r="J37" s="291"/>
      <c r="K37" s="291"/>
      <c r="L37" s="292"/>
      <c r="N37" s="287" t="str">
        <f>IF(C35&lt;0.35,AL28,IF(C37=AG15,AL28,""))</f>
        <v/>
      </c>
      <c r="O37" s="288"/>
      <c r="P37" s="288"/>
      <c r="Q37" s="288"/>
      <c r="R37" s="288"/>
      <c r="S37" s="289"/>
      <c r="AL37" t="s">
        <v>263</v>
      </c>
    </row>
    <row r="38" spans="1:38" x14ac:dyDescent="0.25">
      <c r="A38" s="186"/>
      <c r="B38" s="186"/>
      <c r="C38" s="186"/>
      <c r="D38" s="186"/>
      <c r="G38" s="293"/>
      <c r="H38" s="294"/>
      <c r="I38" s="294"/>
      <c r="J38" s="294"/>
      <c r="K38" s="294"/>
      <c r="L38" s="295"/>
      <c r="N38" s="293"/>
      <c r="O38" s="294"/>
      <c r="P38" s="294"/>
      <c r="Q38" s="294"/>
      <c r="R38" s="294"/>
      <c r="S38" s="295"/>
      <c r="AL38" t="s">
        <v>264</v>
      </c>
    </row>
    <row r="40" spans="1:38" x14ac:dyDescent="0.25">
      <c r="AL40" t="str">
        <f>"Need more distance between moves ("&amp;2*ROUND([1]Field!C25,0)&amp;"ft) for alternate move irrigation technique"</f>
        <v>Need more distance between moves (138ft) for alternate move irrigation technique</v>
      </c>
    </row>
    <row r="41" spans="1:38" x14ac:dyDescent="0.25">
      <c r="AL41" t="str">
        <f>"Need less distance between moves ("&amp;ROUND([1]Field!C25,0)&amp;"ft) for every move across field technique"</f>
        <v>Need less distance between moves (69ft) for every move across field technique</v>
      </c>
    </row>
    <row r="43" spans="1:38" x14ac:dyDescent="0.25">
      <c r="AL43" t="s">
        <v>265</v>
      </c>
    </row>
    <row r="44" spans="1:38" x14ac:dyDescent="0.25">
      <c r="AL44" t="s">
        <v>266</v>
      </c>
    </row>
    <row r="45" spans="1:38" x14ac:dyDescent="0.25">
      <c r="AL45" t="s">
        <v>267</v>
      </c>
    </row>
    <row r="46" spans="1:38" x14ac:dyDescent="0.25">
      <c r="AL46" t="s">
        <v>268</v>
      </c>
    </row>
  </sheetData>
  <mergeCells count="15">
    <mergeCell ref="B27:C28"/>
    <mergeCell ref="G3:L10"/>
    <mergeCell ref="N3:S10"/>
    <mergeCell ref="G12:L15"/>
    <mergeCell ref="N12:S15"/>
    <mergeCell ref="G16:L17"/>
    <mergeCell ref="N16:S17"/>
    <mergeCell ref="G30:L38"/>
    <mergeCell ref="N30:S35"/>
    <mergeCell ref="N37:S38"/>
    <mergeCell ref="G18:L18"/>
    <mergeCell ref="N18:S18"/>
    <mergeCell ref="G20:L28"/>
    <mergeCell ref="N20:S24"/>
    <mergeCell ref="N26:S28"/>
  </mergeCells>
  <conditionalFormatting sqref="C37">
    <cfRule type="expression" dxfId="9" priority="10" stopIfTrue="1">
      <formula>$B$37=""</formula>
    </cfRule>
  </conditionalFormatting>
  <conditionalFormatting sqref="C20 C23">
    <cfRule type="cellIs" dxfId="8" priority="8" stopIfTrue="1" operator="between">
      <formula>0</formula>
      <formula>0.5</formula>
    </cfRule>
    <cfRule type="cellIs" dxfId="7" priority="9" stopIfTrue="1" operator="between">
      <formula>0.5</formula>
      <formula>0.6</formula>
    </cfRule>
  </conditionalFormatting>
  <conditionalFormatting sqref="C25:C26">
    <cfRule type="expression" dxfId="6" priority="7" stopIfTrue="1">
      <formula>$C$20&lt;0.5</formula>
    </cfRule>
  </conditionalFormatting>
  <conditionalFormatting sqref="C35">
    <cfRule type="cellIs" dxfId="5" priority="4" stopIfTrue="1" operator="lessThan">
      <formula>$E$35</formula>
    </cfRule>
    <cfRule type="cellIs" dxfId="4" priority="5" stopIfTrue="1" operator="greaterThan">
      <formula>$E$36</formula>
    </cfRule>
    <cfRule type="cellIs" dxfId="3" priority="6" stopIfTrue="1" operator="lessThan">
      <formula>0.25</formula>
    </cfRule>
  </conditionalFormatting>
  <conditionalFormatting sqref="C7">
    <cfRule type="cellIs" dxfId="2" priority="2" stopIfTrue="1" operator="lessThan">
      <formula>$E$5</formula>
    </cfRule>
    <cfRule type="cellIs" dxfId="1" priority="3" stopIfTrue="1" operator="greaterThan">
      <formula>$E$6</formula>
    </cfRule>
  </conditionalFormatting>
  <conditionalFormatting sqref="C14">
    <cfRule type="cellIs" dxfId="0" priority="1" stopIfTrue="1" operator="greaterThan">
      <formula>$C$13</formula>
    </cfRule>
  </conditionalFormatting>
  <dataValidations count="12">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$AB$4:$AC$4</formula1>
    </dataValidation>
    <dataValidation type="list" allowBlank="1" showInputMessage="1" showErrorMessage="1"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formula1>$AF$3:$AF$8</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$AE$3:$AE$11</formula1>
    </dataValidation>
    <dataValidation type="list" allowBlank="1" showInputMessage="1" showErrorMessage="1"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formula1>$AL$35:$AL$38</formula1>
    </dataValidation>
    <dataValidation type="list" allowBlank="1" showInputMessage="1" showErrorMessage="1" sqref="AH32:AI32 KD32:KE32 TZ32:UA32 ADV32:ADW32 ANR32:ANS32 AXN32:AXO32 BHJ32:BHK32 BRF32:BRG32 CBB32:CBC32 CKX32:CKY32 CUT32:CUU32 DEP32:DEQ32 DOL32:DOM32 DYH32:DYI32 EID32:EIE32 ERZ32:ESA32 FBV32:FBW32 FLR32:FLS32 FVN32:FVO32 GFJ32:GFK32 GPF32:GPG32 GZB32:GZC32 HIX32:HIY32 HST32:HSU32 ICP32:ICQ32 IML32:IMM32 IWH32:IWI32 JGD32:JGE32 JPZ32:JQA32 JZV32:JZW32 KJR32:KJS32 KTN32:KTO32 LDJ32:LDK32 LNF32:LNG32 LXB32:LXC32 MGX32:MGY32 MQT32:MQU32 NAP32:NAQ32 NKL32:NKM32 NUH32:NUI32 OED32:OEE32 ONZ32:OOA32 OXV32:OXW32 PHR32:PHS32 PRN32:PRO32 QBJ32:QBK32 QLF32:QLG32 QVB32:QVC32 REX32:REY32 ROT32:ROU32 RYP32:RYQ32 SIL32:SIM32 SSH32:SSI32 TCD32:TCE32 TLZ32:TMA32 TVV32:TVW32 UFR32:UFS32 UPN32:UPO32 UZJ32:UZK32 VJF32:VJG32 VTB32:VTC32 WCX32:WCY32 WMT32:WMU32 WWP32:WWQ32 AH65568:AI65568 KD65568:KE65568 TZ65568:UA65568 ADV65568:ADW65568 ANR65568:ANS65568 AXN65568:AXO65568 BHJ65568:BHK65568 BRF65568:BRG65568 CBB65568:CBC65568 CKX65568:CKY65568 CUT65568:CUU65568 DEP65568:DEQ65568 DOL65568:DOM65568 DYH65568:DYI65568 EID65568:EIE65568 ERZ65568:ESA65568 FBV65568:FBW65568 FLR65568:FLS65568 FVN65568:FVO65568 GFJ65568:GFK65568 GPF65568:GPG65568 GZB65568:GZC65568 HIX65568:HIY65568 HST65568:HSU65568 ICP65568:ICQ65568 IML65568:IMM65568 IWH65568:IWI65568 JGD65568:JGE65568 JPZ65568:JQA65568 JZV65568:JZW65568 KJR65568:KJS65568 KTN65568:KTO65568 LDJ65568:LDK65568 LNF65568:LNG65568 LXB65568:LXC65568 MGX65568:MGY65568 MQT65568:MQU65568 NAP65568:NAQ65568 NKL65568:NKM65568 NUH65568:NUI65568 OED65568:OEE65568 ONZ65568:OOA65568 OXV65568:OXW65568 PHR65568:PHS65568 PRN65568:PRO65568 QBJ65568:QBK65568 QLF65568:QLG65568 QVB65568:QVC65568 REX65568:REY65568 ROT65568:ROU65568 RYP65568:RYQ65568 SIL65568:SIM65568 SSH65568:SSI65568 TCD65568:TCE65568 TLZ65568:TMA65568 TVV65568:TVW65568 UFR65568:UFS65568 UPN65568:UPO65568 UZJ65568:UZK65568 VJF65568:VJG65568 VTB65568:VTC65568 WCX65568:WCY65568 WMT65568:WMU65568 WWP65568:WWQ65568 AH131104:AI131104 KD131104:KE131104 TZ131104:UA131104 ADV131104:ADW131104 ANR131104:ANS131104 AXN131104:AXO131104 BHJ131104:BHK131104 BRF131104:BRG131104 CBB131104:CBC131104 CKX131104:CKY131104 CUT131104:CUU131104 DEP131104:DEQ131104 DOL131104:DOM131104 DYH131104:DYI131104 EID131104:EIE131104 ERZ131104:ESA131104 FBV131104:FBW131104 FLR131104:FLS131104 FVN131104:FVO131104 GFJ131104:GFK131104 GPF131104:GPG131104 GZB131104:GZC131104 HIX131104:HIY131104 HST131104:HSU131104 ICP131104:ICQ131104 IML131104:IMM131104 IWH131104:IWI131104 JGD131104:JGE131104 JPZ131104:JQA131104 JZV131104:JZW131104 KJR131104:KJS131104 KTN131104:KTO131104 LDJ131104:LDK131104 LNF131104:LNG131104 LXB131104:LXC131104 MGX131104:MGY131104 MQT131104:MQU131104 NAP131104:NAQ131104 NKL131104:NKM131104 NUH131104:NUI131104 OED131104:OEE131104 ONZ131104:OOA131104 OXV131104:OXW131104 PHR131104:PHS131104 PRN131104:PRO131104 QBJ131104:QBK131104 QLF131104:QLG131104 QVB131104:QVC131104 REX131104:REY131104 ROT131104:ROU131104 RYP131104:RYQ131104 SIL131104:SIM131104 SSH131104:SSI131104 TCD131104:TCE131104 TLZ131104:TMA131104 TVV131104:TVW131104 UFR131104:UFS131104 UPN131104:UPO131104 UZJ131104:UZK131104 VJF131104:VJG131104 VTB131104:VTC131104 WCX131104:WCY131104 WMT131104:WMU131104 WWP131104:WWQ131104 AH196640:AI196640 KD196640:KE196640 TZ196640:UA196640 ADV196640:ADW196640 ANR196640:ANS196640 AXN196640:AXO196640 BHJ196640:BHK196640 BRF196640:BRG196640 CBB196640:CBC196640 CKX196640:CKY196640 CUT196640:CUU196640 DEP196640:DEQ196640 DOL196640:DOM196640 DYH196640:DYI196640 EID196640:EIE196640 ERZ196640:ESA196640 FBV196640:FBW196640 FLR196640:FLS196640 FVN196640:FVO196640 GFJ196640:GFK196640 GPF196640:GPG196640 GZB196640:GZC196640 HIX196640:HIY196640 HST196640:HSU196640 ICP196640:ICQ196640 IML196640:IMM196640 IWH196640:IWI196640 JGD196640:JGE196640 JPZ196640:JQA196640 JZV196640:JZW196640 KJR196640:KJS196640 KTN196640:KTO196640 LDJ196640:LDK196640 LNF196640:LNG196640 LXB196640:LXC196640 MGX196640:MGY196640 MQT196640:MQU196640 NAP196640:NAQ196640 NKL196640:NKM196640 NUH196640:NUI196640 OED196640:OEE196640 ONZ196640:OOA196640 OXV196640:OXW196640 PHR196640:PHS196640 PRN196640:PRO196640 QBJ196640:QBK196640 QLF196640:QLG196640 QVB196640:QVC196640 REX196640:REY196640 ROT196640:ROU196640 RYP196640:RYQ196640 SIL196640:SIM196640 SSH196640:SSI196640 TCD196640:TCE196640 TLZ196640:TMA196640 TVV196640:TVW196640 UFR196640:UFS196640 UPN196640:UPO196640 UZJ196640:UZK196640 VJF196640:VJG196640 VTB196640:VTC196640 WCX196640:WCY196640 WMT196640:WMU196640 WWP196640:WWQ196640 AH262176:AI262176 KD262176:KE262176 TZ262176:UA262176 ADV262176:ADW262176 ANR262176:ANS262176 AXN262176:AXO262176 BHJ262176:BHK262176 BRF262176:BRG262176 CBB262176:CBC262176 CKX262176:CKY262176 CUT262176:CUU262176 DEP262176:DEQ262176 DOL262176:DOM262176 DYH262176:DYI262176 EID262176:EIE262176 ERZ262176:ESA262176 FBV262176:FBW262176 FLR262176:FLS262176 FVN262176:FVO262176 GFJ262176:GFK262176 GPF262176:GPG262176 GZB262176:GZC262176 HIX262176:HIY262176 HST262176:HSU262176 ICP262176:ICQ262176 IML262176:IMM262176 IWH262176:IWI262176 JGD262176:JGE262176 JPZ262176:JQA262176 JZV262176:JZW262176 KJR262176:KJS262176 KTN262176:KTO262176 LDJ262176:LDK262176 LNF262176:LNG262176 LXB262176:LXC262176 MGX262176:MGY262176 MQT262176:MQU262176 NAP262176:NAQ262176 NKL262176:NKM262176 NUH262176:NUI262176 OED262176:OEE262176 ONZ262176:OOA262176 OXV262176:OXW262176 PHR262176:PHS262176 PRN262176:PRO262176 QBJ262176:QBK262176 QLF262176:QLG262176 QVB262176:QVC262176 REX262176:REY262176 ROT262176:ROU262176 RYP262176:RYQ262176 SIL262176:SIM262176 SSH262176:SSI262176 TCD262176:TCE262176 TLZ262176:TMA262176 TVV262176:TVW262176 UFR262176:UFS262176 UPN262176:UPO262176 UZJ262176:UZK262176 VJF262176:VJG262176 VTB262176:VTC262176 WCX262176:WCY262176 WMT262176:WMU262176 WWP262176:WWQ262176 AH327712:AI327712 KD327712:KE327712 TZ327712:UA327712 ADV327712:ADW327712 ANR327712:ANS327712 AXN327712:AXO327712 BHJ327712:BHK327712 BRF327712:BRG327712 CBB327712:CBC327712 CKX327712:CKY327712 CUT327712:CUU327712 DEP327712:DEQ327712 DOL327712:DOM327712 DYH327712:DYI327712 EID327712:EIE327712 ERZ327712:ESA327712 FBV327712:FBW327712 FLR327712:FLS327712 FVN327712:FVO327712 GFJ327712:GFK327712 GPF327712:GPG327712 GZB327712:GZC327712 HIX327712:HIY327712 HST327712:HSU327712 ICP327712:ICQ327712 IML327712:IMM327712 IWH327712:IWI327712 JGD327712:JGE327712 JPZ327712:JQA327712 JZV327712:JZW327712 KJR327712:KJS327712 KTN327712:KTO327712 LDJ327712:LDK327712 LNF327712:LNG327712 LXB327712:LXC327712 MGX327712:MGY327712 MQT327712:MQU327712 NAP327712:NAQ327712 NKL327712:NKM327712 NUH327712:NUI327712 OED327712:OEE327712 ONZ327712:OOA327712 OXV327712:OXW327712 PHR327712:PHS327712 PRN327712:PRO327712 QBJ327712:QBK327712 QLF327712:QLG327712 QVB327712:QVC327712 REX327712:REY327712 ROT327712:ROU327712 RYP327712:RYQ327712 SIL327712:SIM327712 SSH327712:SSI327712 TCD327712:TCE327712 TLZ327712:TMA327712 TVV327712:TVW327712 UFR327712:UFS327712 UPN327712:UPO327712 UZJ327712:UZK327712 VJF327712:VJG327712 VTB327712:VTC327712 WCX327712:WCY327712 WMT327712:WMU327712 WWP327712:WWQ327712 AH393248:AI393248 KD393248:KE393248 TZ393248:UA393248 ADV393248:ADW393248 ANR393248:ANS393248 AXN393248:AXO393248 BHJ393248:BHK393248 BRF393248:BRG393248 CBB393248:CBC393248 CKX393248:CKY393248 CUT393248:CUU393248 DEP393248:DEQ393248 DOL393248:DOM393248 DYH393248:DYI393248 EID393248:EIE393248 ERZ393248:ESA393248 FBV393248:FBW393248 FLR393248:FLS393248 FVN393248:FVO393248 GFJ393248:GFK393248 GPF393248:GPG393248 GZB393248:GZC393248 HIX393248:HIY393248 HST393248:HSU393248 ICP393248:ICQ393248 IML393248:IMM393248 IWH393248:IWI393248 JGD393248:JGE393248 JPZ393248:JQA393248 JZV393248:JZW393248 KJR393248:KJS393248 KTN393248:KTO393248 LDJ393248:LDK393248 LNF393248:LNG393248 LXB393248:LXC393248 MGX393248:MGY393248 MQT393248:MQU393248 NAP393248:NAQ393248 NKL393248:NKM393248 NUH393248:NUI393248 OED393248:OEE393248 ONZ393248:OOA393248 OXV393248:OXW393248 PHR393248:PHS393248 PRN393248:PRO393248 QBJ393248:QBK393248 QLF393248:QLG393248 QVB393248:QVC393248 REX393248:REY393248 ROT393248:ROU393248 RYP393248:RYQ393248 SIL393248:SIM393248 SSH393248:SSI393248 TCD393248:TCE393248 TLZ393248:TMA393248 TVV393248:TVW393248 UFR393248:UFS393248 UPN393248:UPO393248 UZJ393248:UZK393248 VJF393248:VJG393248 VTB393248:VTC393248 WCX393248:WCY393248 WMT393248:WMU393248 WWP393248:WWQ393248 AH458784:AI458784 KD458784:KE458784 TZ458784:UA458784 ADV458784:ADW458784 ANR458784:ANS458784 AXN458784:AXO458784 BHJ458784:BHK458784 BRF458784:BRG458784 CBB458784:CBC458784 CKX458784:CKY458784 CUT458784:CUU458784 DEP458784:DEQ458784 DOL458784:DOM458784 DYH458784:DYI458784 EID458784:EIE458784 ERZ458784:ESA458784 FBV458784:FBW458784 FLR458784:FLS458784 FVN458784:FVO458784 GFJ458784:GFK458784 GPF458784:GPG458784 GZB458784:GZC458784 HIX458784:HIY458784 HST458784:HSU458784 ICP458784:ICQ458784 IML458784:IMM458784 IWH458784:IWI458784 JGD458784:JGE458784 JPZ458784:JQA458784 JZV458784:JZW458784 KJR458784:KJS458784 KTN458784:KTO458784 LDJ458784:LDK458784 LNF458784:LNG458784 LXB458784:LXC458784 MGX458784:MGY458784 MQT458784:MQU458784 NAP458784:NAQ458784 NKL458784:NKM458784 NUH458784:NUI458784 OED458784:OEE458784 ONZ458784:OOA458784 OXV458784:OXW458784 PHR458784:PHS458784 PRN458784:PRO458784 QBJ458784:QBK458784 QLF458784:QLG458784 QVB458784:QVC458784 REX458784:REY458784 ROT458784:ROU458784 RYP458784:RYQ458784 SIL458784:SIM458784 SSH458784:SSI458784 TCD458784:TCE458784 TLZ458784:TMA458784 TVV458784:TVW458784 UFR458784:UFS458784 UPN458784:UPO458784 UZJ458784:UZK458784 VJF458784:VJG458784 VTB458784:VTC458784 WCX458784:WCY458784 WMT458784:WMU458784 WWP458784:WWQ458784 AH524320:AI524320 KD524320:KE524320 TZ524320:UA524320 ADV524320:ADW524320 ANR524320:ANS524320 AXN524320:AXO524320 BHJ524320:BHK524320 BRF524320:BRG524320 CBB524320:CBC524320 CKX524320:CKY524320 CUT524320:CUU524320 DEP524320:DEQ524320 DOL524320:DOM524320 DYH524320:DYI524320 EID524320:EIE524320 ERZ524320:ESA524320 FBV524320:FBW524320 FLR524320:FLS524320 FVN524320:FVO524320 GFJ524320:GFK524320 GPF524320:GPG524320 GZB524320:GZC524320 HIX524320:HIY524320 HST524320:HSU524320 ICP524320:ICQ524320 IML524320:IMM524320 IWH524320:IWI524320 JGD524320:JGE524320 JPZ524320:JQA524320 JZV524320:JZW524320 KJR524320:KJS524320 KTN524320:KTO524320 LDJ524320:LDK524320 LNF524320:LNG524320 LXB524320:LXC524320 MGX524320:MGY524320 MQT524320:MQU524320 NAP524320:NAQ524320 NKL524320:NKM524320 NUH524320:NUI524320 OED524320:OEE524320 ONZ524320:OOA524320 OXV524320:OXW524320 PHR524320:PHS524320 PRN524320:PRO524320 QBJ524320:QBK524320 QLF524320:QLG524320 QVB524320:QVC524320 REX524320:REY524320 ROT524320:ROU524320 RYP524320:RYQ524320 SIL524320:SIM524320 SSH524320:SSI524320 TCD524320:TCE524320 TLZ524320:TMA524320 TVV524320:TVW524320 UFR524320:UFS524320 UPN524320:UPO524320 UZJ524320:UZK524320 VJF524320:VJG524320 VTB524320:VTC524320 WCX524320:WCY524320 WMT524320:WMU524320 WWP524320:WWQ524320 AH589856:AI589856 KD589856:KE589856 TZ589856:UA589856 ADV589856:ADW589856 ANR589856:ANS589856 AXN589856:AXO589856 BHJ589856:BHK589856 BRF589856:BRG589856 CBB589856:CBC589856 CKX589856:CKY589856 CUT589856:CUU589856 DEP589856:DEQ589856 DOL589856:DOM589856 DYH589856:DYI589856 EID589856:EIE589856 ERZ589856:ESA589856 FBV589856:FBW589856 FLR589856:FLS589856 FVN589856:FVO589856 GFJ589856:GFK589856 GPF589856:GPG589856 GZB589856:GZC589856 HIX589856:HIY589856 HST589856:HSU589856 ICP589856:ICQ589856 IML589856:IMM589856 IWH589856:IWI589856 JGD589856:JGE589856 JPZ589856:JQA589856 JZV589856:JZW589856 KJR589856:KJS589856 KTN589856:KTO589856 LDJ589856:LDK589856 LNF589856:LNG589856 LXB589856:LXC589856 MGX589856:MGY589856 MQT589856:MQU589856 NAP589856:NAQ589856 NKL589856:NKM589856 NUH589856:NUI589856 OED589856:OEE589856 ONZ589856:OOA589856 OXV589856:OXW589856 PHR589856:PHS589856 PRN589856:PRO589856 QBJ589856:QBK589856 QLF589856:QLG589856 QVB589856:QVC589856 REX589856:REY589856 ROT589856:ROU589856 RYP589856:RYQ589856 SIL589856:SIM589856 SSH589856:SSI589856 TCD589856:TCE589856 TLZ589856:TMA589856 TVV589856:TVW589856 UFR589856:UFS589856 UPN589856:UPO589856 UZJ589856:UZK589856 VJF589856:VJG589856 VTB589856:VTC589856 WCX589856:WCY589856 WMT589856:WMU589856 WWP589856:WWQ589856 AH655392:AI655392 KD655392:KE655392 TZ655392:UA655392 ADV655392:ADW655392 ANR655392:ANS655392 AXN655392:AXO655392 BHJ655392:BHK655392 BRF655392:BRG655392 CBB655392:CBC655392 CKX655392:CKY655392 CUT655392:CUU655392 DEP655392:DEQ655392 DOL655392:DOM655392 DYH655392:DYI655392 EID655392:EIE655392 ERZ655392:ESA655392 FBV655392:FBW655392 FLR655392:FLS655392 FVN655392:FVO655392 GFJ655392:GFK655392 GPF655392:GPG655392 GZB655392:GZC655392 HIX655392:HIY655392 HST655392:HSU655392 ICP655392:ICQ655392 IML655392:IMM655392 IWH655392:IWI655392 JGD655392:JGE655392 JPZ655392:JQA655392 JZV655392:JZW655392 KJR655392:KJS655392 KTN655392:KTO655392 LDJ655392:LDK655392 LNF655392:LNG655392 LXB655392:LXC655392 MGX655392:MGY655392 MQT655392:MQU655392 NAP655392:NAQ655392 NKL655392:NKM655392 NUH655392:NUI655392 OED655392:OEE655392 ONZ655392:OOA655392 OXV655392:OXW655392 PHR655392:PHS655392 PRN655392:PRO655392 QBJ655392:QBK655392 QLF655392:QLG655392 QVB655392:QVC655392 REX655392:REY655392 ROT655392:ROU655392 RYP655392:RYQ655392 SIL655392:SIM655392 SSH655392:SSI655392 TCD655392:TCE655392 TLZ655392:TMA655392 TVV655392:TVW655392 UFR655392:UFS655392 UPN655392:UPO655392 UZJ655392:UZK655392 VJF655392:VJG655392 VTB655392:VTC655392 WCX655392:WCY655392 WMT655392:WMU655392 WWP655392:WWQ655392 AH720928:AI720928 KD720928:KE720928 TZ720928:UA720928 ADV720928:ADW720928 ANR720928:ANS720928 AXN720928:AXO720928 BHJ720928:BHK720928 BRF720928:BRG720928 CBB720928:CBC720928 CKX720928:CKY720928 CUT720928:CUU720928 DEP720928:DEQ720928 DOL720928:DOM720928 DYH720928:DYI720928 EID720928:EIE720928 ERZ720928:ESA720928 FBV720928:FBW720928 FLR720928:FLS720928 FVN720928:FVO720928 GFJ720928:GFK720928 GPF720928:GPG720928 GZB720928:GZC720928 HIX720928:HIY720928 HST720928:HSU720928 ICP720928:ICQ720928 IML720928:IMM720928 IWH720928:IWI720928 JGD720928:JGE720928 JPZ720928:JQA720928 JZV720928:JZW720928 KJR720928:KJS720928 KTN720928:KTO720928 LDJ720928:LDK720928 LNF720928:LNG720928 LXB720928:LXC720928 MGX720928:MGY720928 MQT720928:MQU720928 NAP720928:NAQ720928 NKL720928:NKM720928 NUH720928:NUI720928 OED720928:OEE720928 ONZ720928:OOA720928 OXV720928:OXW720928 PHR720928:PHS720928 PRN720928:PRO720928 QBJ720928:QBK720928 QLF720928:QLG720928 QVB720928:QVC720928 REX720928:REY720928 ROT720928:ROU720928 RYP720928:RYQ720928 SIL720928:SIM720928 SSH720928:SSI720928 TCD720928:TCE720928 TLZ720928:TMA720928 TVV720928:TVW720928 UFR720928:UFS720928 UPN720928:UPO720928 UZJ720928:UZK720928 VJF720928:VJG720928 VTB720928:VTC720928 WCX720928:WCY720928 WMT720928:WMU720928 WWP720928:WWQ720928 AH786464:AI786464 KD786464:KE786464 TZ786464:UA786464 ADV786464:ADW786464 ANR786464:ANS786464 AXN786464:AXO786464 BHJ786464:BHK786464 BRF786464:BRG786464 CBB786464:CBC786464 CKX786464:CKY786464 CUT786464:CUU786464 DEP786464:DEQ786464 DOL786464:DOM786464 DYH786464:DYI786464 EID786464:EIE786464 ERZ786464:ESA786464 FBV786464:FBW786464 FLR786464:FLS786464 FVN786464:FVO786464 GFJ786464:GFK786464 GPF786464:GPG786464 GZB786464:GZC786464 HIX786464:HIY786464 HST786464:HSU786464 ICP786464:ICQ786464 IML786464:IMM786464 IWH786464:IWI786464 JGD786464:JGE786464 JPZ786464:JQA786464 JZV786464:JZW786464 KJR786464:KJS786464 KTN786464:KTO786464 LDJ786464:LDK786464 LNF786464:LNG786464 LXB786464:LXC786464 MGX786464:MGY786464 MQT786464:MQU786464 NAP786464:NAQ786464 NKL786464:NKM786464 NUH786464:NUI786464 OED786464:OEE786464 ONZ786464:OOA786464 OXV786464:OXW786464 PHR786464:PHS786464 PRN786464:PRO786464 QBJ786464:QBK786464 QLF786464:QLG786464 QVB786464:QVC786464 REX786464:REY786464 ROT786464:ROU786464 RYP786464:RYQ786464 SIL786464:SIM786464 SSH786464:SSI786464 TCD786464:TCE786464 TLZ786464:TMA786464 TVV786464:TVW786464 UFR786464:UFS786464 UPN786464:UPO786464 UZJ786464:UZK786464 VJF786464:VJG786464 VTB786464:VTC786464 WCX786464:WCY786464 WMT786464:WMU786464 WWP786464:WWQ786464 AH852000:AI852000 KD852000:KE852000 TZ852000:UA852000 ADV852000:ADW852000 ANR852000:ANS852000 AXN852000:AXO852000 BHJ852000:BHK852000 BRF852000:BRG852000 CBB852000:CBC852000 CKX852000:CKY852000 CUT852000:CUU852000 DEP852000:DEQ852000 DOL852000:DOM852000 DYH852000:DYI852000 EID852000:EIE852000 ERZ852000:ESA852000 FBV852000:FBW852000 FLR852000:FLS852000 FVN852000:FVO852000 GFJ852000:GFK852000 GPF852000:GPG852000 GZB852000:GZC852000 HIX852000:HIY852000 HST852000:HSU852000 ICP852000:ICQ852000 IML852000:IMM852000 IWH852000:IWI852000 JGD852000:JGE852000 JPZ852000:JQA852000 JZV852000:JZW852000 KJR852000:KJS852000 KTN852000:KTO852000 LDJ852000:LDK852000 LNF852000:LNG852000 LXB852000:LXC852000 MGX852000:MGY852000 MQT852000:MQU852000 NAP852000:NAQ852000 NKL852000:NKM852000 NUH852000:NUI852000 OED852000:OEE852000 ONZ852000:OOA852000 OXV852000:OXW852000 PHR852000:PHS852000 PRN852000:PRO852000 QBJ852000:QBK852000 QLF852000:QLG852000 QVB852000:QVC852000 REX852000:REY852000 ROT852000:ROU852000 RYP852000:RYQ852000 SIL852000:SIM852000 SSH852000:SSI852000 TCD852000:TCE852000 TLZ852000:TMA852000 TVV852000:TVW852000 UFR852000:UFS852000 UPN852000:UPO852000 UZJ852000:UZK852000 VJF852000:VJG852000 VTB852000:VTC852000 WCX852000:WCY852000 WMT852000:WMU852000 WWP852000:WWQ852000 AH917536:AI917536 KD917536:KE917536 TZ917536:UA917536 ADV917536:ADW917536 ANR917536:ANS917536 AXN917536:AXO917536 BHJ917536:BHK917536 BRF917536:BRG917536 CBB917536:CBC917536 CKX917536:CKY917536 CUT917536:CUU917536 DEP917536:DEQ917536 DOL917536:DOM917536 DYH917536:DYI917536 EID917536:EIE917536 ERZ917536:ESA917536 FBV917536:FBW917536 FLR917536:FLS917536 FVN917536:FVO917536 GFJ917536:GFK917536 GPF917536:GPG917536 GZB917536:GZC917536 HIX917536:HIY917536 HST917536:HSU917536 ICP917536:ICQ917536 IML917536:IMM917536 IWH917536:IWI917536 JGD917536:JGE917536 JPZ917536:JQA917536 JZV917536:JZW917536 KJR917536:KJS917536 KTN917536:KTO917536 LDJ917536:LDK917536 LNF917536:LNG917536 LXB917536:LXC917536 MGX917536:MGY917536 MQT917536:MQU917536 NAP917536:NAQ917536 NKL917536:NKM917536 NUH917536:NUI917536 OED917536:OEE917536 ONZ917536:OOA917536 OXV917536:OXW917536 PHR917536:PHS917536 PRN917536:PRO917536 QBJ917536:QBK917536 QLF917536:QLG917536 QVB917536:QVC917536 REX917536:REY917536 ROT917536:ROU917536 RYP917536:RYQ917536 SIL917536:SIM917536 SSH917536:SSI917536 TCD917536:TCE917536 TLZ917536:TMA917536 TVV917536:TVW917536 UFR917536:UFS917536 UPN917536:UPO917536 UZJ917536:UZK917536 VJF917536:VJG917536 VTB917536:VTC917536 WCX917536:WCY917536 WMT917536:WMU917536 WWP917536:WWQ917536 AH983072:AI983072 KD983072:KE983072 TZ983072:UA983072 ADV983072:ADW983072 ANR983072:ANS983072 AXN983072:AXO983072 BHJ983072:BHK983072 BRF983072:BRG983072 CBB983072:CBC983072 CKX983072:CKY983072 CUT983072:CUU983072 DEP983072:DEQ983072 DOL983072:DOM983072 DYH983072:DYI983072 EID983072:EIE983072 ERZ983072:ESA983072 FBV983072:FBW983072 FLR983072:FLS983072 FVN983072:FVO983072 GFJ983072:GFK983072 GPF983072:GPG983072 GZB983072:GZC983072 HIX983072:HIY983072 HST983072:HSU983072 ICP983072:ICQ983072 IML983072:IMM983072 IWH983072:IWI983072 JGD983072:JGE983072 JPZ983072:JQA983072 JZV983072:JZW983072 KJR983072:KJS983072 KTN983072:KTO983072 LDJ983072:LDK983072 LNF983072:LNG983072 LXB983072:LXC983072 MGX983072:MGY983072 MQT983072:MQU983072 NAP983072:NAQ983072 NKL983072:NKM983072 NUH983072:NUI983072 OED983072:OEE983072 ONZ983072:OOA983072 OXV983072:OXW983072 PHR983072:PHS983072 PRN983072:PRO983072 QBJ983072:QBK983072 QLF983072:QLG983072 QVB983072:QVC983072 REX983072:REY983072 ROT983072:ROU983072 RYP983072:RYQ983072 SIL983072:SIM983072 SSH983072:SSI983072 TCD983072:TCE983072 TLZ983072:TMA983072 TVV983072:TVW983072 UFR983072:UFS983072 UPN983072:UPO983072 UZJ983072:UZK983072 VJF983072:VJG983072 VTB983072:VTC983072 WCX983072:WCY983072 WMT983072:WMU983072 WWP983072:WWQ983072">
      <formula1>$AH$20:$AH$24</formula1>
    </dataValidation>
    <dataValidation type="list" allowBlank="1" showInputMessage="1" showErrorMessage="1" sqref="AH29:AI29 KD29:KE29 TZ29:UA29 ADV29:ADW29 ANR29:ANS29 AXN29:AXO29 BHJ29:BHK29 BRF29:BRG29 CBB29:CBC29 CKX29:CKY29 CUT29:CUU29 DEP29:DEQ29 DOL29:DOM29 DYH29:DYI29 EID29:EIE29 ERZ29:ESA29 FBV29:FBW29 FLR29:FLS29 FVN29:FVO29 GFJ29:GFK29 GPF29:GPG29 GZB29:GZC29 HIX29:HIY29 HST29:HSU29 ICP29:ICQ29 IML29:IMM29 IWH29:IWI29 JGD29:JGE29 JPZ29:JQA29 JZV29:JZW29 KJR29:KJS29 KTN29:KTO29 LDJ29:LDK29 LNF29:LNG29 LXB29:LXC29 MGX29:MGY29 MQT29:MQU29 NAP29:NAQ29 NKL29:NKM29 NUH29:NUI29 OED29:OEE29 ONZ29:OOA29 OXV29:OXW29 PHR29:PHS29 PRN29:PRO29 QBJ29:QBK29 QLF29:QLG29 QVB29:QVC29 REX29:REY29 ROT29:ROU29 RYP29:RYQ29 SIL29:SIM29 SSH29:SSI29 TCD29:TCE29 TLZ29:TMA29 TVV29:TVW29 UFR29:UFS29 UPN29:UPO29 UZJ29:UZK29 VJF29:VJG29 VTB29:VTC29 WCX29:WCY29 WMT29:WMU29 WWP29:WWQ29 AH65565:AI65565 KD65565:KE65565 TZ65565:UA65565 ADV65565:ADW65565 ANR65565:ANS65565 AXN65565:AXO65565 BHJ65565:BHK65565 BRF65565:BRG65565 CBB65565:CBC65565 CKX65565:CKY65565 CUT65565:CUU65565 DEP65565:DEQ65565 DOL65565:DOM65565 DYH65565:DYI65565 EID65565:EIE65565 ERZ65565:ESA65565 FBV65565:FBW65565 FLR65565:FLS65565 FVN65565:FVO65565 GFJ65565:GFK65565 GPF65565:GPG65565 GZB65565:GZC65565 HIX65565:HIY65565 HST65565:HSU65565 ICP65565:ICQ65565 IML65565:IMM65565 IWH65565:IWI65565 JGD65565:JGE65565 JPZ65565:JQA65565 JZV65565:JZW65565 KJR65565:KJS65565 KTN65565:KTO65565 LDJ65565:LDK65565 LNF65565:LNG65565 LXB65565:LXC65565 MGX65565:MGY65565 MQT65565:MQU65565 NAP65565:NAQ65565 NKL65565:NKM65565 NUH65565:NUI65565 OED65565:OEE65565 ONZ65565:OOA65565 OXV65565:OXW65565 PHR65565:PHS65565 PRN65565:PRO65565 QBJ65565:QBK65565 QLF65565:QLG65565 QVB65565:QVC65565 REX65565:REY65565 ROT65565:ROU65565 RYP65565:RYQ65565 SIL65565:SIM65565 SSH65565:SSI65565 TCD65565:TCE65565 TLZ65565:TMA65565 TVV65565:TVW65565 UFR65565:UFS65565 UPN65565:UPO65565 UZJ65565:UZK65565 VJF65565:VJG65565 VTB65565:VTC65565 WCX65565:WCY65565 WMT65565:WMU65565 WWP65565:WWQ65565 AH131101:AI131101 KD131101:KE131101 TZ131101:UA131101 ADV131101:ADW131101 ANR131101:ANS131101 AXN131101:AXO131101 BHJ131101:BHK131101 BRF131101:BRG131101 CBB131101:CBC131101 CKX131101:CKY131101 CUT131101:CUU131101 DEP131101:DEQ131101 DOL131101:DOM131101 DYH131101:DYI131101 EID131101:EIE131101 ERZ131101:ESA131101 FBV131101:FBW131101 FLR131101:FLS131101 FVN131101:FVO131101 GFJ131101:GFK131101 GPF131101:GPG131101 GZB131101:GZC131101 HIX131101:HIY131101 HST131101:HSU131101 ICP131101:ICQ131101 IML131101:IMM131101 IWH131101:IWI131101 JGD131101:JGE131101 JPZ131101:JQA131101 JZV131101:JZW131101 KJR131101:KJS131101 KTN131101:KTO131101 LDJ131101:LDK131101 LNF131101:LNG131101 LXB131101:LXC131101 MGX131101:MGY131101 MQT131101:MQU131101 NAP131101:NAQ131101 NKL131101:NKM131101 NUH131101:NUI131101 OED131101:OEE131101 ONZ131101:OOA131101 OXV131101:OXW131101 PHR131101:PHS131101 PRN131101:PRO131101 QBJ131101:QBK131101 QLF131101:QLG131101 QVB131101:QVC131101 REX131101:REY131101 ROT131101:ROU131101 RYP131101:RYQ131101 SIL131101:SIM131101 SSH131101:SSI131101 TCD131101:TCE131101 TLZ131101:TMA131101 TVV131101:TVW131101 UFR131101:UFS131101 UPN131101:UPO131101 UZJ131101:UZK131101 VJF131101:VJG131101 VTB131101:VTC131101 WCX131101:WCY131101 WMT131101:WMU131101 WWP131101:WWQ131101 AH196637:AI196637 KD196637:KE196637 TZ196637:UA196637 ADV196637:ADW196637 ANR196637:ANS196637 AXN196637:AXO196637 BHJ196637:BHK196637 BRF196637:BRG196637 CBB196637:CBC196637 CKX196637:CKY196637 CUT196637:CUU196637 DEP196637:DEQ196637 DOL196637:DOM196637 DYH196637:DYI196637 EID196637:EIE196637 ERZ196637:ESA196637 FBV196637:FBW196637 FLR196637:FLS196637 FVN196637:FVO196637 GFJ196637:GFK196637 GPF196637:GPG196637 GZB196637:GZC196637 HIX196637:HIY196637 HST196637:HSU196637 ICP196637:ICQ196637 IML196637:IMM196637 IWH196637:IWI196637 JGD196637:JGE196637 JPZ196637:JQA196637 JZV196637:JZW196637 KJR196637:KJS196637 KTN196637:KTO196637 LDJ196637:LDK196637 LNF196637:LNG196637 LXB196637:LXC196637 MGX196637:MGY196637 MQT196637:MQU196637 NAP196637:NAQ196637 NKL196637:NKM196637 NUH196637:NUI196637 OED196637:OEE196637 ONZ196637:OOA196637 OXV196637:OXW196637 PHR196637:PHS196637 PRN196637:PRO196637 QBJ196637:QBK196637 QLF196637:QLG196637 QVB196637:QVC196637 REX196637:REY196637 ROT196637:ROU196637 RYP196637:RYQ196637 SIL196637:SIM196637 SSH196637:SSI196637 TCD196637:TCE196637 TLZ196637:TMA196637 TVV196637:TVW196637 UFR196637:UFS196637 UPN196637:UPO196637 UZJ196637:UZK196637 VJF196637:VJG196637 VTB196637:VTC196637 WCX196637:WCY196637 WMT196637:WMU196637 WWP196637:WWQ196637 AH262173:AI262173 KD262173:KE262173 TZ262173:UA262173 ADV262173:ADW262173 ANR262173:ANS262173 AXN262173:AXO262173 BHJ262173:BHK262173 BRF262173:BRG262173 CBB262173:CBC262173 CKX262173:CKY262173 CUT262173:CUU262173 DEP262173:DEQ262173 DOL262173:DOM262173 DYH262173:DYI262173 EID262173:EIE262173 ERZ262173:ESA262173 FBV262173:FBW262173 FLR262173:FLS262173 FVN262173:FVO262173 GFJ262173:GFK262173 GPF262173:GPG262173 GZB262173:GZC262173 HIX262173:HIY262173 HST262173:HSU262173 ICP262173:ICQ262173 IML262173:IMM262173 IWH262173:IWI262173 JGD262173:JGE262173 JPZ262173:JQA262173 JZV262173:JZW262173 KJR262173:KJS262173 KTN262173:KTO262173 LDJ262173:LDK262173 LNF262173:LNG262173 LXB262173:LXC262173 MGX262173:MGY262173 MQT262173:MQU262173 NAP262173:NAQ262173 NKL262173:NKM262173 NUH262173:NUI262173 OED262173:OEE262173 ONZ262173:OOA262173 OXV262173:OXW262173 PHR262173:PHS262173 PRN262173:PRO262173 QBJ262173:QBK262173 QLF262173:QLG262173 QVB262173:QVC262173 REX262173:REY262173 ROT262173:ROU262173 RYP262173:RYQ262173 SIL262173:SIM262173 SSH262173:SSI262173 TCD262173:TCE262173 TLZ262173:TMA262173 TVV262173:TVW262173 UFR262173:UFS262173 UPN262173:UPO262173 UZJ262173:UZK262173 VJF262173:VJG262173 VTB262173:VTC262173 WCX262173:WCY262173 WMT262173:WMU262173 WWP262173:WWQ262173 AH327709:AI327709 KD327709:KE327709 TZ327709:UA327709 ADV327709:ADW327709 ANR327709:ANS327709 AXN327709:AXO327709 BHJ327709:BHK327709 BRF327709:BRG327709 CBB327709:CBC327709 CKX327709:CKY327709 CUT327709:CUU327709 DEP327709:DEQ327709 DOL327709:DOM327709 DYH327709:DYI327709 EID327709:EIE327709 ERZ327709:ESA327709 FBV327709:FBW327709 FLR327709:FLS327709 FVN327709:FVO327709 GFJ327709:GFK327709 GPF327709:GPG327709 GZB327709:GZC327709 HIX327709:HIY327709 HST327709:HSU327709 ICP327709:ICQ327709 IML327709:IMM327709 IWH327709:IWI327709 JGD327709:JGE327709 JPZ327709:JQA327709 JZV327709:JZW327709 KJR327709:KJS327709 KTN327709:KTO327709 LDJ327709:LDK327709 LNF327709:LNG327709 LXB327709:LXC327709 MGX327709:MGY327709 MQT327709:MQU327709 NAP327709:NAQ327709 NKL327709:NKM327709 NUH327709:NUI327709 OED327709:OEE327709 ONZ327709:OOA327709 OXV327709:OXW327709 PHR327709:PHS327709 PRN327709:PRO327709 QBJ327709:QBK327709 QLF327709:QLG327709 QVB327709:QVC327709 REX327709:REY327709 ROT327709:ROU327709 RYP327709:RYQ327709 SIL327709:SIM327709 SSH327709:SSI327709 TCD327709:TCE327709 TLZ327709:TMA327709 TVV327709:TVW327709 UFR327709:UFS327709 UPN327709:UPO327709 UZJ327709:UZK327709 VJF327709:VJG327709 VTB327709:VTC327709 WCX327709:WCY327709 WMT327709:WMU327709 WWP327709:WWQ327709 AH393245:AI393245 KD393245:KE393245 TZ393245:UA393245 ADV393245:ADW393245 ANR393245:ANS393245 AXN393245:AXO393245 BHJ393245:BHK393245 BRF393245:BRG393245 CBB393245:CBC393245 CKX393245:CKY393245 CUT393245:CUU393245 DEP393245:DEQ393245 DOL393245:DOM393245 DYH393245:DYI393245 EID393245:EIE393245 ERZ393245:ESA393245 FBV393245:FBW393245 FLR393245:FLS393245 FVN393245:FVO393245 GFJ393245:GFK393245 GPF393245:GPG393245 GZB393245:GZC393245 HIX393245:HIY393245 HST393245:HSU393245 ICP393245:ICQ393245 IML393245:IMM393245 IWH393245:IWI393245 JGD393245:JGE393245 JPZ393245:JQA393245 JZV393245:JZW393245 KJR393245:KJS393245 KTN393245:KTO393245 LDJ393245:LDK393245 LNF393245:LNG393245 LXB393245:LXC393245 MGX393245:MGY393245 MQT393245:MQU393245 NAP393245:NAQ393245 NKL393245:NKM393245 NUH393245:NUI393245 OED393245:OEE393245 ONZ393245:OOA393245 OXV393245:OXW393245 PHR393245:PHS393245 PRN393245:PRO393245 QBJ393245:QBK393245 QLF393245:QLG393245 QVB393245:QVC393245 REX393245:REY393245 ROT393245:ROU393245 RYP393245:RYQ393245 SIL393245:SIM393245 SSH393245:SSI393245 TCD393245:TCE393245 TLZ393245:TMA393245 TVV393245:TVW393245 UFR393245:UFS393245 UPN393245:UPO393245 UZJ393245:UZK393245 VJF393245:VJG393245 VTB393245:VTC393245 WCX393245:WCY393245 WMT393245:WMU393245 WWP393245:WWQ393245 AH458781:AI458781 KD458781:KE458781 TZ458781:UA458781 ADV458781:ADW458781 ANR458781:ANS458781 AXN458781:AXO458781 BHJ458781:BHK458781 BRF458781:BRG458781 CBB458781:CBC458781 CKX458781:CKY458781 CUT458781:CUU458781 DEP458781:DEQ458781 DOL458781:DOM458781 DYH458781:DYI458781 EID458781:EIE458781 ERZ458781:ESA458781 FBV458781:FBW458781 FLR458781:FLS458781 FVN458781:FVO458781 GFJ458781:GFK458781 GPF458781:GPG458781 GZB458781:GZC458781 HIX458781:HIY458781 HST458781:HSU458781 ICP458781:ICQ458781 IML458781:IMM458781 IWH458781:IWI458781 JGD458781:JGE458781 JPZ458781:JQA458781 JZV458781:JZW458781 KJR458781:KJS458781 KTN458781:KTO458781 LDJ458781:LDK458781 LNF458781:LNG458781 LXB458781:LXC458781 MGX458781:MGY458781 MQT458781:MQU458781 NAP458781:NAQ458781 NKL458781:NKM458781 NUH458781:NUI458781 OED458781:OEE458781 ONZ458781:OOA458781 OXV458781:OXW458781 PHR458781:PHS458781 PRN458781:PRO458781 QBJ458781:QBK458781 QLF458781:QLG458781 QVB458781:QVC458781 REX458781:REY458781 ROT458781:ROU458781 RYP458781:RYQ458781 SIL458781:SIM458781 SSH458781:SSI458781 TCD458781:TCE458781 TLZ458781:TMA458781 TVV458781:TVW458781 UFR458781:UFS458781 UPN458781:UPO458781 UZJ458781:UZK458781 VJF458781:VJG458781 VTB458781:VTC458781 WCX458781:WCY458781 WMT458781:WMU458781 WWP458781:WWQ458781 AH524317:AI524317 KD524317:KE524317 TZ524317:UA524317 ADV524317:ADW524317 ANR524317:ANS524317 AXN524317:AXO524317 BHJ524317:BHK524317 BRF524317:BRG524317 CBB524317:CBC524317 CKX524317:CKY524317 CUT524317:CUU524317 DEP524317:DEQ524317 DOL524317:DOM524317 DYH524317:DYI524317 EID524317:EIE524317 ERZ524317:ESA524317 FBV524317:FBW524317 FLR524317:FLS524317 FVN524317:FVO524317 GFJ524317:GFK524317 GPF524317:GPG524317 GZB524317:GZC524317 HIX524317:HIY524317 HST524317:HSU524317 ICP524317:ICQ524317 IML524317:IMM524317 IWH524317:IWI524317 JGD524317:JGE524317 JPZ524317:JQA524317 JZV524317:JZW524317 KJR524317:KJS524317 KTN524317:KTO524317 LDJ524317:LDK524317 LNF524317:LNG524317 LXB524317:LXC524317 MGX524317:MGY524317 MQT524317:MQU524317 NAP524317:NAQ524317 NKL524317:NKM524317 NUH524317:NUI524317 OED524317:OEE524317 ONZ524317:OOA524317 OXV524317:OXW524317 PHR524317:PHS524317 PRN524317:PRO524317 QBJ524317:QBK524317 QLF524317:QLG524317 QVB524317:QVC524317 REX524317:REY524317 ROT524317:ROU524317 RYP524317:RYQ524317 SIL524317:SIM524317 SSH524317:SSI524317 TCD524317:TCE524317 TLZ524317:TMA524317 TVV524317:TVW524317 UFR524317:UFS524317 UPN524317:UPO524317 UZJ524317:UZK524317 VJF524317:VJG524317 VTB524317:VTC524317 WCX524317:WCY524317 WMT524317:WMU524317 WWP524317:WWQ524317 AH589853:AI589853 KD589853:KE589853 TZ589853:UA589853 ADV589853:ADW589853 ANR589853:ANS589853 AXN589853:AXO589853 BHJ589853:BHK589853 BRF589853:BRG589853 CBB589853:CBC589853 CKX589853:CKY589853 CUT589853:CUU589853 DEP589853:DEQ589853 DOL589853:DOM589853 DYH589853:DYI589853 EID589853:EIE589853 ERZ589853:ESA589853 FBV589853:FBW589853 FLR589853:FLS589853 FVN589853:FVO589853 GFJ589853:GFK589853 GPF589853:GPG589853 GZB589853:GZC589853 HIX589853:HIY589853 HST589853:HSU589853 ICP589853:ICQ589853 IML589853:IMM589853 IWH589853:IWI589853 JGD589853:JGE589853 JPZ589853:JQA589853 JZV589853:JZW589853 KJR589853:KJS589853 KTN589853:KTO589853 LDJ589853:LDK589853 LNF589853:LNG589853 LXB589853:LXC589853 MGX589853:MGY589853 MQT589853:MQU589853 NAP589853:NAQ589853 NKL589853:NKM589853 NUH589853:NUI589853 OED589853:OEE589853 ONZ589853:OOA589853 OXV589853:OXW589853 PHR589853:PHS589853 PRN589853:PRO589853 QBJ589853:QBK589853 QLF589853:QLG589853 QVB589853:QVC589853 REX589853:REY589853 ROT589853:ROU589853 RYP589853:RYQ589853 SIL589853:SIM589853 SSH589853:SSI589853 TCD589853:TCE589853 TLZ589853:TMA589853 TVV589853:TVW589853 UFR589853:UFS589853 UPN589853:UPO589853 UZJ589853:UZK589853 VJF589853:VJG589853 VTB589853:VTC589853 WCX589853:WCY589853 WMT589853:WMU589853 WWP589853:WWQ589853 AH655389:AI655389 KD655389:KE655389 TZ655389:UA655389 ADV655389:ADW655389 ANR655389:ANS655389 AXN655389:AXO655389 BHJ655389:BHK655389 BRF655389:BRG655389 CBB655389:CBC655389 CKX655389:CKY655389 CUT655389:CUU655389 DEP655389:DEQ655389 DOL655389:DOM655389 DYH655389:DYI655389 EID655389:EIE655389 ERZ655389:ESA655389 FBV655389:FBW655389 FLR655389:FLS655389 FVN655389:FVO655389 GFJ655389:GFK655389 GPF655389:GPG655389 GZB655389:GZC655389 HIX655389:HIY655389 HST655389:HSU655389 ICP655389:ICQ655389 IML655389:IMM655389 IWH655389:IWI655389 JGD655389:JGE655389 JPZ655389:JQA655389 JZV655389:JZW655389 KJR655389:KJS655389 KTN655389:KTO655389 LDJ655389:LDK655389 LNF655389:LNG655389 LXB655389:LXC655389 MGX655389:MGY655389 MQT655389:MQU655389 NAP655389:NAQ655389 NKL655389:NKM655389 NUH655389:NUI655389 OED655389:OEE655389 ONZ655389:OOA655389 OXV655389:OXW655389 PHR655389:PHS655389 PRN655389:PRO655389 QBJ655389:QBK655389 QLF655389:QLG655389 QVB655389:QVC655389 REX655389:REY655389 ROT655389:ROU655389 RYP655389:RYQ655389 SIL655389:SIM655389 SSH655389:SSI655389 TCD655389:TCE655389 TLZ655389:TMA655389 TVV655389:TVW655389 UFR655389:UFS655389 UPN655389:UPO655389 UZJ655389:UZK655389 VJF655389:VJG655389 VTB655389:VTC655389 WCX655389:WCY655389 WMT655389:WMU655389 WWP655389:WWQ655389 AH720925:AI720925 KD720925:KE720925 TZ720925:UA720925 ADV720925:ADW720925 ANR720925:ANS720925 AXN720925:AXO720925 BHJ720925:BHK720925 BRF720925:BRG720925 CBB720925:CBC720925 CKX720925:CKY720925 CUT720925:CUU720925 DEP720925:DEQ720925 DOL720925:DOM720925 DYH720925:DYI720925 EID720925:EIE720925 ERZ720925:ESA720925 FBV720925:FBW720925 FLR720925:FLS720925 FVN720925:FVO720925 GFJ720925:GFK720925 GPF720925:GPG720925 GZB720925:GZC720925 HIX720925:HIY720925 HST720925:HSU720925 ICP720925:ICQ720925 IML720925:IMM720925 IWH720925:IWI720925 JGD720925:JGE720925 JPZ720925:JQA720925 JZV720925:JZW720925 KJR720925:KJS720925 KTN720925:KTO720925 LDJ720925:LDK720925 LNF720925:LNG720925 LXB720925:LXC720925 MGX720925:MGY720925 MQT720925:MQU720925 NAP720925:NAQ720925 NKL720925:NKM720925 NUH720925:NUI720925 OED720925:OEE720925 ONZ720925:OOA720925 OXV720925:OXW720925 PHR720925:PHS720925 PRN720925:PRO720925 QBJ720925:QBK720925 QLF720925:QLG720925 QVB720925:QVC720925 REX720925:REY720925 ROT720925:ROU720925 RYP720925:RYQ720925 SIL720925:SIM720925 SSH720925:SSI720925 TCD720925:TCE720925 TLZ720925:TMA720925 TVV720925:TVW720925 UFR720925:UFS720925 UPN720925:UPO720925 UZJ720925:UZK720925 VJF720925:VJG720925 VTB720925:VTC720925 WCX720925:WCY720925 WMT720925:WMU720925 WWP720925:WWQ720925 AH786461:AI786461 KD786461:KE786461 TZ786461:UA786461 ADV786461:ADW786461 ANR786461:ANS786461 AXN786461:AXO786461 BHJ786461:BHK786461 BRF786461:BRG786461 CBB786461:CBC786461 CKX786461:CKY786461 CUT786461:CUU786461 DEP786461:DEQ786461 DOL786461:DOM786461 DYH786461:DYI786461 EID786461:EIE786461 ERZ786461:ESA786461 FBV786461:FBW786461 FLR786461:FLS786461 FVN786461:FVO786461 GFJ786461:GFK786461 GPF786461:GPG786461 GZB786461:GZC786461 HIX786461:HIY786461 HST786461:HSU786461 ICP786461:ICQ786461 IML786461:IMM786461 IWH786461:IWI786461 JGD786461:JGE786461 JPZ786461:JQA786461 JZV786461:JZW786461 KJR786461:KJS786461 KTN786461:KTO786461 LDJ786461:LDK786461 LNF786461:LNG786461 LXB786461:LXC786461 MGX786461:MGY786461 MQT786461:MQU786461 NAP786461:NAQ786461 NKL786461:NKM786461 NUH786461:NUI786461 OED786461:OEE786461 ONZ786461:OOA786461 OXV786461:OXW786461 PHR786461:PHS786461 PRN786461:PRO786461 QBJ786461:QBK786461 QLF786461:QLG786461 QVB786461:QVC786461 REX786461:REY786461 ROT786461:ROU786461 RYP786461:RYQ786461 SIL786461:SIM786461 SSH786461:SSI786461 TCD786461:TCE786461 TLZ786461:TMA786461 TVV786461:TVW786461 UFR786461:UFS786461 UPN786461:UPO786461 UZJ786461:UZK786461 VJF786461:VJG786461 VTB786461:VTC786461 WCX786461:WCY786461 WMT786461:WMU786461 WWP786461:WWQ786461 AH851997:AI851997 KD851997:KE851997 TZ851997:UA851997 ADV851997:ADW851997 ANR851997:ANS851997 AXN851997:AXO851997 BHJ851997:BHK851997 BRF851997:BRG851997 CBB851997:CBC851997 CKX851997:CKY851997 CUT851997:CUU851997 DEP851997:DEQ851997 DOL851997:DOM851997 DYH851997:DYI851997 EID851997:EIE851997 ERZ851997:ESA851997 FBV851997:FBW851997 FLR851997:FLS851997 FVN851997:FVO851997 GFJ851997:GFK851997 GPF851997:GPG851997 GZB851997:GZC851997 HIX851997:HIY851997 HST851997:HSU851997 ICP851997:ICQ851997 IML851997:IMM851997 IWH851997:IWI851997 JGD851997:JGE851997 JPZ851997:JQA851997 JZV851997:JZW851997 KJR851997:KJS851997 KTN851997:KTO851997 LDJ851997:LDK851997 LNF851997:LNG851997 LXB851997:LXC851997 MGX851997:MGY851997 MQT851997:MQU851997 NAP851997:NAQ851997 NKL851997:NKM851997 NUH851997:NUI851997 OED851997:OEE851997 ONZ851997:OOA851997 OXV851997:OXW851997 PHR851997:PHS851997 PRN851997:PRO851997 QBJ851997:QBK851997 QLF851997:QLG851997 QVB851997:QVC851997 REX851997:REY851997 ROT851997:ROU851997 RYP851997:RYQ851997 SIL851997:SIM851997 SSH851997:SSI851997 TCD851997:TCE851997 TLZ851997:TMA851997 TVV851997:TVW851997 UFR851997:UFS851997 UPN851997:UPO851997 UZJ851997:UZK851997 VJF851997:VJG851997 VTB851997:VTC851997 WCX851997:WCY851997 WMT851997:WMU851997 WWP851997:WWQ851997 AH917533:AI917533 KD917533:KE917533 TZ917533:UA917533 ADV917533:ADW917533 ANR917533:ANS917533 AXN917533:AXO917533 BHJ917533:BHK917533 BRF917533:BRG917533 CBB917533:CBC917533 CKX917533:CKY917533 CUT917533:CUU917533 DEP917533:DEQ917533 DOL917533:DOM917533 DYH917533:DYI917533 EID917533:EIE917533 ERZ917533:ESA917533 FBV917533:FBW917533 FLR917533:FLS917533 FVN917533:FVO917533 GFJ917533:GFK917533 GPF917533:GPG917533 GZB917533:GZC917533 HIX917533:HIY917533 HST917533:HSU917533 ICP917533:ICQ917533 IML917533:IMM917533 IWH917533:IWI917533 JGD917533:JGE917533 JPZ917533:JQA917533 JZV917533:JZW917533 KJR917533:KJS917533 KTN917533:KTO917533 LDJ917533:LDK917533 LNF917533:LNG917533 LXB917533:LXC917533 MGX917533:MGY917533 MQT917533:MQU917533 NAP917533:NAQ917533 NKL917533:NKM917533 NUH917533:NUI917533 OED917533:OEE917533 ONZ917533:OOA917533 OXV917533:OXW917533 PHR917533:PHS917533 PRN917533:PRO917533 QBJ917533:QBK917533 QLF917533:QLG917533 QVB917533:QVC917533 REX917533:REY917533 ROT917533:ROU917533 RYP917533:RYQ917533 SIL917533:SIM917533 SSH917533:SSI917533 TCD917533:TCE917533 TLZ917533:TMA917533 TVV917533:TVW917533 UFR917533:UFS917533 UPN917533:UPO917533 UZJ917533:UZK917533 VJF917533:VJG917533 VTB917533:VTC917533 WCX917533:WCY917533 WMT917533:WMU917533 WWP917533:WWQ917533 AH983069:AI983069 KD983069:KE983069 TZ983069:UA983069 ADV983069:ADW983069 ANR983069:ANS983069 AXN983069:AXO983069 BHJ983069:BHK983069 BRF983069:BRG983069 CBB983069:CBC983069 CKX983069:CKY983069 CUT983069:CUU983069 DEP983069:DEQ983069 DOL983069:DOM983069 DYH983069:DYI983069 EID983069:EIE983069 ERZ983069:ESA983069 FBV983069:FBW983069 FLR983069:FLS983069 FVN983069:FVO983069 GFJ983069:GFK983069 GPF983069:GPG983069 GZB983069:GZC983069 HIX983069:HIY983069 HST983069:HSU983069 ICP983069:ICQ983069 IML983069:IMM983069 IWH983069:IWI983069 JGD983069:JGE983069 JPZ983069:JQA983069 JZV983069:JZW983069 KJR983069:KJS983069 KTN983069:KTO983069 LDJ983069:LDK983069 LNF983069:LNG983069 LXB983069:LXC983069 MGX983069:MGY983069 MQT983069:MQU983069 NAP983069:NAQ983069 NKL983069:NKM983069 NUH983069:NUI983069 OED983069:OEE983069 ONZ983069:OOA983069 OXV983069:OXW983069 PHR983069:PHS983069 PRN983069:PRO983069 QBJ983069:QBK983069 QLF983069:QLG983069 QVB983069:QVC983069 REX983069:REY983069 ROT983069:ROU983069 RYP983069:RYQ983069 SIL983069:SIM983069 SSH983069:SSI983069 TCD983069:TCE983069 TLZ983069:TMA983069 TVV983069:TVW983069 UFR983069:UFS983069 UPN983069:UPO983069 UZJ983069:UZK983069 VJF983069:VJG983069 VTB983069:VTC983069 WCX983069:WCY983069 WMT983069:WMU983069 WWP983069:WWQ983069">
      <formula1>$AH$18:$AH$18</formula1>
    </dataValidation>
    <dataValidation type="list" allowBlank="1" showInputMessage="1" showErrorMessage="1" sqref="AH27:AI27 KD27:KE27 TZ27:UA27 ADV27:ADW27 ANR27:ANS27 AXN27:AXO27 BHJ27:BHK27 BRF27:BRG27 CBB27:CBC27 CKX27:CKY27 CUT27:CUU27 DEP27:DEQ27 DOL27:DOM27 DYH27:DYI27 EID27:EIE27 ERZ27:ESA27 FBV27:FBW27 FLR27:FLS27 FVN27:FVO27 GFJ27:GFK27 GPF27:GPG27 GZB27:GZC27 HIX27:HIY27 HST27:HSU27 ICP27:ICQ27 IML27:IMM27 IWH27:IWI27 JGD27:JGE27 JPZ27:JQA27 JZV27:JZW27 KJR27:KJS27 KTN27:KTO27 LDJ27:LDK27 LNF27:LNG27 LXB27:LXC27 MGX27:MGY27 MQT27:MQU27 NAP27:NAQ27 NKL27:NKM27 NUH27:NUI27 OED27:OEE27 ONZ27:OOA27 OXV27:OXW27 PHR27:PHS27 PRN27:PRO27 QBJ27:QBK27 QLF27:QLG27 QVB27:QVC27 REX27:REY27 ROT27:ROU27 RYP27:RYQ27 SIL27:SIM27 SSH27:SSI27 TCD27:TCE27 TLZ27:TMA27 TVV27:TVW27 UFR27:UFS27 UPN27:UPO27 UZJ27:UZK27 VJF27:VJG27 VTB27:VTC27 WCX27:WCY27 WMT27:WMU27 WWP27:WWQ27 AH65563:AI65563 KD65563:KE65563 TZ65563:UA65563 ADV65563:ADW65563 ANR65563:ANS65563 AXN65563:AXO65563 BHJ65563:BHK65563 BRF65563:BRG65563 CBB65563:CBC65563 CKX65563:CKY65563 CUT65563:CUU65563 DEP65563:DEQ65563 DOL65563:DOM65563 DYH65563:DYI65563 EID65563:EIE65563 ERZ65563:ESA65563 FBV65563:FBW65563 FLR65563:FLS65563 FVN65563:FVO65563 GFJ65563:GFK65563 GPF65563:GPG65563 GZB65563:GZC65563 HIX65563:HIY65563 HST65563:HSU65563 ICP65563:ICQ65563 IML65563:IMM65563 IWH65563:IWI65563 JGD65563:JGE65563 JPZ65563:JQA65563 JZV65563:JZW65563 KJR65563:KJS65563 KTN65563:KTO65563 LDJ65563:LDK65563 LNF65563:LNG65563 LXB65563:LXC65563 MGX65563:MGY65563 MQT65563:MQU65563 NAP65563:NAQ65563 NKL65563:NKM65563 NUH65563:NUI65563 OED65563:OEE65563 ONZ65563:OOA65563 OXV65563:OXW65563 PHR65563:PHS65563 PRN65563:PRO65563 QBJ65563:QBK65563 QLF65563:QLG65563 QVB65563:QVC65563 REX65563:REY65563 ROT65563:ROU65563 RYP65563:RYQ65563 SIL65563:SIM65563 SSH65563:SSI65563 TCD65563:TCE65563 TLZ65563:TMA65563 TVV65563:TVW65563 UFR65563:UFS65563 UPN65563:UPO65563 UZJ65563:UZK65563 VJF65563:VJG65563 VTB65563:VTC65563 WCX65563:WCY65563 WMT65563:WMU65563 WWP65563:WWQ65563 AH131099:AI131099 KD131099:KE131099 TZ131099:UA131099 ADV131099:ADW131099 ANR131099:ANS131099 AXN131099:AXO131099 BHJ131099:BHK131099 BRF131099:BRG131099 CBB131099:CBC131099 CKX131099:CKY131099 CUT131099:CUU131099 DEP131099:DEQ131099 DOL131099:DOM131099 DYH131099:DYI131099 EID131099:EIE131099 ERZ131099:ESA131099 FBV131099:FBW131099 FLR131099:FLS131099 FVN131099:FVO131099 GFJ131099:GFK131099 GPF131099:GPG131099 GZB131099:GZC131099 HIX131099:HIY131099 HST131099:HSU131099 ICP131099:ICQ131099 IML131099:IMM131099 IWH131099:IWI131099 JGD131099:JGE131099 JPZ131099:JQA131099 JZV131099:JZW131099 KJR131099:KJS131099 KTN131099:KTO131099 LDJ131099:LDK131099 LNF131099:LNG131099 LXB131099:LXC131099 MGX131099:MGY131099 MQT131099:MQU131099 NAP131099:NAQ131099 NKL131099:NKM131099 NUH131099:NUI131099 OED131099:OEE131099 ONZ131099:OOA131099 OXV131099:OXW131099 PHR131099:PHS131099 PRN131099:PRO131099 QBJ131099:QBK131099 QLF131099:QLG131099 QVB131099:QVC131099 REX131099:REY131099 ROT131099:ROU131099 RYP131099:RYQ131099 SIL131099:SIM131099 SSH131099:SSI131099 TCD131099:TCE131099 TLZ131099:TMA131099 TVV131099:TVW131099 UFR131099:UFS131099 UPN131099:UPO131099 UZJ131099:UZK131099 VJF131099:VJG131099 VTB131099:VTC131099 WCX131099:WCY131099 WMT131099:WMU131099 WWP131099:WWQ131099 AH196635:AI196635 KD196635:KE196635 TZ196635:UA196635 ADV196635:ADW196635 ANR196635:ANS196635 AXN196635:AXO196635 BHJ196635:BHK196635 BRF196635:BRG196635 CBB196635:CBC196635 CKX196635:CKY196635 CUT196635:CUU196635 DEP196635:DEQ196635 DOL196635:DOM196635 DYH196635:DYI196635 EID196635:EIE196635 ERZ196635:ESA196635 FBV196635:FBW196635 FLR196635:FLS196635 FVN196635:FVO196635 GFJ196635:GFK196635 GPF196635:GPG196635 GZB196635:GZC196635 HIX196635:HIY196635 HST196635:HSU196635 ICP196635:ICQ196635 IML196635:IMM196635 IWH196635:IWI196635 JGD196635:JGE196635 JPZ196635:JQA196635 JZV196635:JZW196635 KJR196635:KJS196635 KTN196635:KTO196635 LDJ196635:LDK196635 LNF196635:LNG196635 LXB196635:LXC196635 MGX196635:MGY196635 MQT196635:MQU196635 NAP196635:NAQ196635 NKL196635:NKM196635 NUH196635:NUI196635 OED196635:OEE196635 ONZ196635:OOA196635 OXV196635:OXW196635 PHR196635:PHS196635 PRN196635:PRO196635 QBJ196635:QBK196635 QLF196635:QLG196635 QVB196635:QVC196635 REX196635:REY196635 ROT196635:ROU196635 RYP196635:RYQ196635 SIL196635:SIM196635 SSH196635:SSI196635 TCD196635:TCE196635 TLZ196635:TMA196635 TVV196635:TVW196635 UFR196635:UFS196635 UPN196635:UPO196635 UZJ196635:UZK196635 VJF196635:VJG196635 VTB196635:VTC196635 WCX196635:WCY196635 WMT196635:WMU196635 WWP196635:WWQ196635 AH262171:AI262171 KD262171:KE262171 TZ262171:UA262171 ADV262171:ADW262171 ANR262171:ANS262171 AXN262171:AXO262171 BHJ262171:BHK262171 BRF262171:BRG262171 CBB262171:CBC262171 CKX262171:CKY262171 CUT262171:CUU262171 DEP262171:DEQ262171 DOL262171:DOM262171 DYH262171:DYI262171 EID262171:EIE262171 ERZ262171:ESA262171 FBV262171:FBW262171 FLR262171:FLS262171 FVN262171:FVO262171 GFJ262171:GFK262171 GPF262171:GPG262171 GZB262171:GZC262171 HIX262171:HIY262171 HST262171:HSU262171 ICP262171:ICQ262171 IML262171:IMM262171 IWH262171:IWI262171 JGD262171:JGE262171 JPZ262171:JQA262171 JZV262171:JZW262171 KJR262171:KJS262171 KTN262171:KTO262171 LDJ262171:LDK262171 LNF262171:LNG262171 LXB262171:LXC262171 MGX262171:MGY262171 MQT262171:MQU262171 NAP262171:NAQ262171 NKL262171:NKM262171 NUH262171:NUI262171 OED262171:OEE262171 ONZ262171:OOA262171 OXV262171:OXW262171 PHR262171:PHS262171 PRN262171:PRO262171 QBJ262171:QBK262171 QLF262171:QLG262171 QVB262171:QVC262171 REX262171:REY262171 ROT262171:ROU262171 RYP262171:RYQ262171 SIL262171:SIM262171 SSH262171:SSI262171 TCD262171:TCE262171 TLZ262171:TMA262171 TVV262171:TVW262171 UFR262171:UFS262171 UPN262171:UPO262171 UZJ262171:UZK262171 VJF262171:VJG262171 VTB262171:VTC262171 WCX262171:WCY262171 WMT262171:WMU262171 WWP262171:WWQ262171 AH327707:AI327707 KD327707:KE327707 TZ327707:UA327707 ADV327707:ADW327707 ANR327707:ANS327707 AXN327707:AXO327707 BHJ327707:BHK327707 BRF327707:BRG327707 CBB327707:CBC327707 CKX327707:CKY327707 CUT327707:CUU327707 DEP327707:DEQ327707 DOL327707:DOM327707 DYH327707:DYI327707 EID327707:EIE327707 ERZ327707:ESA327707 FBV327707:FBW327707 FLR327707:FLS327707 FVN327707:FVO327707 GFJ327707:GFK327707 GPF327707:GPG327707 GZB327707:GZC327707 HIX327707:HIY327707 HST327707:HSU327707 ICP327707:ICQ327707 IML327707:IMM327707 IWH327707:IWI327707 JGD327707:JGE327707 JPZ327707:JQA327707 JZV327707:JZW327707 KJR327707:KJS327707 KTN327707:KTO327707 LDJ327707:LDK327707 LNF327707:LNG327707 LXB327707:LXC327707 MGX327707:MGY327707 MQT327707:MQU327707 NAP327707:NAQ327707 NKL327707:NKM327707 NUH327707:NUI327707 OED327707:OEE327707 ONZ327707:OOA327707 OXV327707:OXW327707 PHR327707:PHS327707 PRN327707:PRO327707 QBJ327707:QBK327707 QLF327707:QLG327707 QVB327707:QVC327707 REX327707:REY327707 ROT327707:ROU327707 RYP327707:RYQ327707 SIL327707:SIM327707 SSH327707:SSI327707 TCD327707:TCE327707 TLZ327707:TMA327707 TVV327707:TVW327707 UFR327707:UFS327707 UPN327707:UPO327707 UZJ327707:UZK327707 VJF327707:VJG327707 VTB327707:VTC327707 WCX327707:WCY327707 WMT327707:WMU327707 WWP327707:WWQ327707 AH393243:AI393243 KD393243:KE393243 TZ393243:UA393243 ADV393243:ADW393243 ANR393243:ANS393243 AXN393243:AXO393243 BHJ393243:BHK393243 BRF393243:BRG393243 CBB393243:CBC393243 CKX393243:CKY393243 CUT393243:CUU393243 DEP393243:DEQ393243 DOL393243:DOM393243 DYH393243:DYI393243 EID393243:EIE393243 ERZ393243:ESA393243 FBV393243:FBW393243 FLR393243:FLS393243 FVN393243:FVO393243 GFJ393243:GFK393243 GPF393243:GPG393243 GZB393243:GZC393243 HIX393243:HIY393243 HST393243:HSU393243 ICP393243:ICQ393243 IML393243:IMM393243 IWH393243:IWI393243 JGD393243:JGE393243 JPZ393243:JQA393243 JZV393243:JZW393243 KJR393243:KJS393243 KTN393243:KTO393243 LDJ393243:LDK393243 LNF393243:LNG393243 LXB393243:LXC393243 MGX393243:MGY393243 MQT393243:MQU393243 NAP393243:NAQ393243 NKL393243:NKM393243 NUH393243:NUI393243 OED393243:OEE393243 ONZ393243:OOA393243 OXV393243:OXW393243 PHR393243:PHS393243 PRN393243:PRO393243 QBJ393243:QBK393243 QLF393243:QLG393243 QVB393243:QVC393243 REX393243:REY393243 ROT393243:ROU393243 RYP393243:RYQ393243 SIL393243:SIM393243 SSH393243:SSI393243 TCD393243:TCE393243 TLZ393243:TMA393243 TVV393243:TVW393243 UFR393243:UFS393243 UPN393243:UPO393243 UZJ393243:UZK393243 VJF393243:VJG393243 VTB393243:VTC393243 WCX393243:WCY393243 WMT393243:WMU393243 WWP393243:WWQ393243 AH458779:AI458779 KD458779:KE458779 TZ458779:UA458779 ADV458779:ADW458779 ANR458779:ANS458779 AXN458779:AXO458779 BHJ458779:BHK458779 BRF458779:BRG458779 CBB458779:CBC458779 CKX458779:CKY458779 CUT458779:CUU458779 DEP458779:DEQ458779 DOL458779:DOM458779 DYH458779:DYI458779 EID458779:EIE458779 ERZ458779:ESA458779 FBV458779:FBW458779 FLR458779:FLS458779 FVN458779:FVO458779 GFJ458779:GFK458779 GPF458779:GPG458779 GZB458779:GZC458779 HIX458779:HIY458779 HST458779:HSU458779 ICP458779:ICQ458779 IML458779:IMM458779 IWH458779:IWI458779 JGD458779:JGE458779 JPZ458779:JQA458779 JZV458779:JZW458779 KJR458779:KJS458779 KTN458779:KTO458779 LDJ458779:LDK458779 LNF458779:LNG458779 LXB458779:LXC458779 MGX458779:MGY458779 MQT458779:MQU458779 NAP458779:NAQ458779 NKL458779:NKM458779 NUH458779:NUI458779 OED458779:OEE458779 ONZ458779:OOA458779 OXV458779:OXW458779 PHR458779:PHS458779 PRN458779:PRO458779 QBJ458779:QBK458779 QLF458779:QLG458779 QVB458779:QVC458779 REX458779:REY458779 ROT458779:ROU458779 RYP458779:RYQ458779 SIL458779:SIM458779 SSH458779:SSI458779 TCD458779:TCE458779 TLZ458779:TMA458779 TVV458779:TVW458779 UFR458779:UFS458779 UPN458779:UPO458779 UZJ458779:UZK458779 VJF458779:VJG458779 VTB458779:VTC458779 WCX458779:WCY458779 WMT458779:WMU458779 WWP458779:WWQ458779 AH524315:AI524315 KD524315:KE524315 TZ524315:UA524315 ADV524315:ADW524315 ANR524315:ANS524315 AXN524315:AXO524315 BHJ524315:BHK524315 BRF524315:BRG524315 CBB524315:CBC524315 CKX524315:CKY524315 CUT524315:CUU524315 DEP524315:DEQ524315 DOL524315:DOM524315 DYH524315:DYI524315 EID524315:EIE524315 ERZ524315:ESA524315 FBV524315:FBW524315 FLR524315:FLS524315 FVN524315:FVO524315 GFJ524315:GFK524315 GPF524315:GPG524315 GZB524315:GZC524315 HIX524315:HIY524315 HST524315:HSU524315 ICP524315:ICQ524315 IML524315:IMM524315 IWH524315:IWI524315 JGD524315:JGE524315 JPZ524315:JQA524315 JZV524315:JZW524315 KJR524315:KJS524315 KTN524315:KTO524315 LDJ524315:LDK524315 LNF524315:LNG524315 LXB524315:LXC524315 MGX524315:MGY524315 MQT524315:MQU524315 NAP524315:NAQ524315 NKL524315:NKM524315 NUH524315:NUI524315 OED524315:OEE524315 ONZ524315:OOA524315 OXV524315:OXW524315 PHR524315:PHS524315 PRN524315:PRO524315 QBJ524315:QBK524315 QLF524315:QLG524315 QVB524315:QVC524315 REX524315:REY524315 ROT524315:ROU524315 RYP524315:RYQ524315 SIL524315:SIM524315 SSH524315:SSI524315 TCD524315:TCE524315 TLZ524315:TMA524315 TVV524315:TVW524315 UFR524315:UFS524315 UPN524315:UPO524315 UZJ524315:UZK524315 VJF524315:VJG524315 VTB524315:VTC524315 WCX524315:WCY524315 WMT524315:WMU524315 WWP524315:WWQ524315 AH589851:AI589851 KD589851:KE589851 TZ589851:UA589851 ADV589851:ADW589851 ANR589851:ANS589851 AXN589851:AXO589851 BHJ589851:BHK589851 BRF589851:BRG589851 CBB589851:CBC589851 CKX589851:CKY589851 CUT589851:CUU589851 DEP589851:DEQ589851 DOL589851:DOM589851 DYH589851:DYI589851 EID589851:EIE589851 ERZ589851:ESA589851 FBV589851:FBW589851 FLR589851:FLS589851 FVN589851:FVO589851 GFJ589851:GFK589851 GPF589851:GPG589851 GZB589851:GZC589851 HIX589851:HIY589851 HST589851:HSU589851 ICP589851:ICQ589851 IML589851:IMM589851 IWH589851:IWI589851 JGD589851:JGE589851 JPZ589851:JQA589851 JZV589851:JZW589851 KJR589851:KJS589851 KTN589851:KTO589851 LDJ589851:LDK589851 LNF589851:LNG589851 LXB589851:LXC589851 MGX589851:MGY589851 MQT589851:MQU589851 NAP589851:NAQ589851 NKL589851:NKM589851 NUH589851:NUI589851 OED589851:OEE589851 ONZ589851:OOA589851 OXV589851:OXW589851 PHR589851:PHS589851 PRN589851:PRO589851 QBJ589851:QBK589851 QLF589851:QLG589851 QVB589851:QVC589851 REX589851:REY589851 ROT589851:ROU589851 RYP589851:RYQ589851 SIL589851:SIM589851 SSH589851:SSI589851 TCD589851:TCE589851 TLZ589851:TMA589851 TVV589851:TVW589851 UFR589851:UFS589851 UPN589851:UPO589851 UZJ589851:UZK589851 VJF589851:VJG589851 VTB589851:VTC589851 WCX589851:WCY589851 WMT589851:WMU589851 WWP589851:WWQ589851 AH655387:AI655387 KD655387:KE655387 TZ655387:UA655387 ADV655387:ADW655387 ANR655387:ANS655387 AXN655387:AXO655387 BHJ655387:BHK655387 BRF655387:BRG655387 CBB655387:CBC655387 CKX655387:CKY655387 CUT655387:CUU655387 DEP655387:DEQ655387 DOL655387:DOM655387 DYH655387:DYI655387 EID655387:EIE655387 ERZ655387:ESA655387 FBV655387:FBW655387 FLR655387:FLS655387 FVN655387:FVO655387 GFJ655387:GFK655387 GPF655387:GPG655387 GZB655387:GZC655387 HIX655387:HIY655387 HST655387:HSU655387 ICP655387:ICQ655387 IML655387:IMM655387 IWH655387:IWI655387 JGD655387:JGE655387 JPZ655387:JQA655387 JZV655387:JZW655387 KJR655387:KJS655387 KTN655387:KTO655387 LDJ655387:LDK655387 LNF655387:LNG655387 LXB655387:LXC655387 MGX655387:MGY655387 MQT655387:MQU655387 NAP655387:NAQ655387 NKL655387:NKM655387 NUH655387:NUI655387 OED655387:OEE655387 ONZ655387:OOA655387 OXV655387:OXW655387 PHR655387:PHS655387 PRN655387:PRO655387 QBJ655387:QBK655387 QLF655387:QLG655387 QVB655387:QVC655387 REX655387:REY655387 ROT655387:ROU655387 RYP655387:RYQ655387 SIL655387:SIM655387 SSH655387:SSI655387 TCD655387:TCE655387 TLZ655387:TMA655387 TVV655387:TVW655387 UFR655387:UFS655387 UPN655387:UPO655387 UZJ655387:UZK655387 VJF655387:VJG655387 VTB655387:VTC655387 WCX655387:WCY655387 WMT655387:WMU655387 WWP655387:WWQ655387 AH720923:AI720923 KD720923:KE720923 TZ720923:UA720923 ADV720923:ADW720923 ANR720923:ANS720923 AXN720923:AXO720923 BHJ720923:BHK720923 BRF720923:BRG720923 CBB720923:CBC720923 CKX720923:CKY720923 CUT720923:CUU720923 DEP720923:DEQ720923 DOL720923:DOM720923 DYH720923:DYI720923 EID720923:EIE720923 ERZ720923:ESA720923 FBV720923:FBW720923 FLR720923:FLS720923 FVN720923:FVO720923 GFJ720923:GFK720923 GPF720923:GPG720923 GZB720923:GZC720923 HIX720923:HIY720923 HST720923:HSU720923 ICP720923:ICQ720923 IML720923:IMM720923 IWH720923:IWI720923 JGD720923:JGE720923 JPZ720923:JQA720923 JZV720923:JZW720923 KJR720923:KJS720923 KTN720923:KTO720923 LDJ720923:LDK720923 LNF720923:LNG720923 LXB720923:LXC720923 MGX720923:MGY720923 MQT720923:MQU720923 NAP720923:NAQ720923 NKL720923:NKM720923 NUH720923:NUI720923 OED720923:OEE720923 ONZ720923:OOA720923 OXV720923:OXW720923 PHR720923:PHS720923 PRN720923:PRO720923 QBJ720923:QBK720923 QLF720923:QLG720923 QVB720923:QVC720923 REX720923:REY720923 ROT720923:ROU720923 RYP720923:RYQ720923 SIL720923:SIM720923 SSH720923:SSI720923 TCD720923:TCE720923 TLZ720923:TMA720923 TVV720923:TVW720923 UFR720923:UFS720923 UPN720923:UPO720923 UZJ720923:UZK720923 VJF720923:VJG720923 VTB720923:VTC720923 WCX720923:WCY720923 WMT720923:WMU720923 WWP720923:WWQ720923 AH786459:AI786459 KD786459:KE786459 TZ786459:UA786459 ADV786459:ADW786459 ANR786459:ANS786459 AXN786459:AXO786459 BHJ786459:BHK786459 BRF786459:BRG786459 CBB786459:CBC786459 CKX786459:CKY786459 CUT786459:CUU786459 DEP786459:DEQ786459 DOL786459:DOM786459 DYH786459:DYI786459 EID786459:EIE786459 ERZ786459:ESA786459 FBV786459:FBW786459 FLR786459:FLS786459 FVN786459:FVO786459 GFJ786459:GFK786459 GPF786459:GPG786459 GZB786459:GZC786459 HIX786459:HIY786459 HST786459:HSU786459 ICP786459:ICQ786459 IML786459:IMM786459 IWH786459:IWI786459 JGD786459:JGE786459 JPZ786459:JQA786459 JZV786459:JZW786459 KJR786459:KJS786459 KTN786459:KTO786459 LDJ786459:LDK786459 LNF786459:LNG786459 LXB786459:LXC786459 MGX786459:MGY786459 MQT786459:MQU786459 NAP786459:NAQ786459 NKL786459:NKM786459 NUH786459:NUI786459 OED786459:OEE786459 ONZ786459:OOA786459 OXV786459:OXW786459 PHR786459:PHS786459 PRN786459:PRO786459 QBJ786459:QBK786459 QLF786459:QLG786459 QVB786459:QVC786459 REX786459:REY786459 ROT786459:ROU786459 RYP786459:RYQ786459 SIL786459:SIM786459 SSH786459:SSI786459 TCD786459:TCE786459 TLZ786459:TMA786459 TVV786459:TVW786459 UFR786459:UFS786459 UPN786459:UPO786459 UZJ786459:UZK786459 VJF786459:VJG786459 VTB786459:VTC786459 WCX786459:WCY786459 WMT786459:WMU786459 WWP786459:WWQ786459 AH851995:AI851995 KD851995:KE851995 TZ851995:UA851995 ADV851995:ADW851995 ANR851995:ANS851995 AXN851995:AXO851995 BHJ851995:BHK851995 BRF851995:BRG851995 CBB851995:CBC851995 CKX851995:CKY851995 CUT851995:CUU851995 DEP851995:DEQ851995 DOL851995:DOM851995 DYH851995:DYI851995 EID851995:EIE851995 ERZ851995:ESA851995 FBV851995:FBW851995 FLR851995:FLS851995 FVN851995:FVO851995 GFJ851995:GFK851995 GPF851995:GPG851995 GZB851995:GZC851995 HIX851995:HIY851995 HST851995:HSU851995 ICP851995:ICQ851995 IML851995:IMM851995 IWH851995:IWI851995 JGD851995:JGE851995 JPZ851995:JQA851995 JZV851995:JZW851995 KJR851995:KJS851995 KTN851995:KTO851995 LDJ851995:LDK851995 LNF851995:LNG851995 LXB851995:LXC851995 MGX851995:MGY851995 MQT851995:MQU851995 NAP851995:NAQ851995 NKL851995:NKM851995 NUH851995:NUI851995 OED851995:OEE851995 ONZ851995:OOA851995 OXV851995:OXW851995 PHR851995:PHS851995 PRN851995:PRO851995 QBJ851995:QBK851995 QLF851995:QLG851995 QVB851995:QVC851995 REX851995:REY851995 ROT851995:ROU851995 RYP851995:RYQ851995 SIL851995:SIM851995 SSH851995:SSI851995 TCD851995:TCE851995 TLZ851995:TMA851995 TVV851995:TVW851995 UFR851995:UFS851995 UPN851995:UPO851995 UZJ851995:UZK851995 VJF851995:VJG851995 VTB851995:VTC851995 WCX851995:WCY851995 WMT851995:WMU851995 WWP851995:WWQ851995 AH917531:AI917531 KD917531:KE917531 TZ917531:UA917531 ADV917531:ADW917531 ANR917531:ANS917531 AXN917531:AXO917531 BHJ917531:BHK917531 BRF917531:BRG917531 CBB917531:CBC917531 CKX917531:CKY917531 CUT917531:CUU917531 DEP917531:DEQ917531 DOL917531:DOM917531 DYH917531:DYI917531 EID917531:EIE917531 ERZ917531:ESA917531 FBV917531:FBW917531 FLR917531:FLS917531 FVN917531:FVO917531 GFJ917531:GFK917531 GPF917531:GPG917531 GZB917531:GZC917531 HIX917531:HIY917531 HST917531:HSU917531 ICP917531:ICQ917531 IML917531:IMM917531 IWH917531:IWI917531 JGD917531:JGE917531 JPZ917531:JQA917531 JZV917531:JZW917531 KJR917531:KJS917531 KTN917531:KTO917531 LDJ917531:LDK917531 LNF917531:LNG917531 LXB917531:LXC917531 MGX917531:MGY917531 MQT917531:MQU917531 NAP917531:NAQ917531 NKL917531:NKM917531 NUH917531:NUI917531 OED917531:OEE917531 ONZ917531:OOA917531 OXV917531:OXW917531 PHR917531:PHS917531 PRN917531:PRO917531 QBJ917531:QBK917531 QLF917531:QLG917531 QVB917531:QVC917531 REX917531:REY917531 ROT917531:ROU917531 RYP917531:RYQ917531 SIL917531:SIM917531 SSH917531:SSI917531 TCD917531:TCE917531 TLZ917531:TMA917531 TVV917531:TVW917531 UFR917531:UFS917531 UPN917531:UPO917531 UZJ917531:UZK917531 VJF917531:VJG917531 VTB917531:VTC917531 WCX917531:WCY917531 WMT917531:WMU917531 WWP917531:WWQ917531 AH983067:AI983067 KD983067:KE983067 TZ983067:UA983067 ADV983067:ADW983067 ANR983067:ANS983067 AXN983067:AXO983067 BHJ983067:BHK983067 BRF983067:BRG983067 CBB983067:CBC983067 CKX983067:CKY983067 CUT983067:CUU983067 DEP983067:DEQ983067 DOL983067:DOM983067 DYH983067:DYI983067 EID983067:EIE983067 ERZ983067:ESA983067 FBV983067:FBW983067 FLR983067:FLS983067 FVN983067:FVO983067 GFJ983067:GFK983067 GPF983067:GPG983067 GZB983067:GZC983067 HIX983067:HIY983067 HST983067:HSU983067 ICP983067:ICQ983067 IML983067:IMM983067 IWH983067:IWI983067 JGD983067:JGE983067 JPZ983067:JQA983067 JZV983067:JZW983067 KJR983067:KJS983067 KTN983067:KTO983067 LDJ983067:LDK983067 LNF983067:LNG983067 LXB983067:LXC983067 MGX983067:MGY983067 MQT983067:MQU983067 NAP983067:NAQ983067 NKL983067:NKM983067 NUH983067:NUI983067 OED983067:OEE983067 ONZ983067:OOA983067 OXV983067:OXW983067 PHR983067:PHS983067 PRN983067:PRO983067 QBJ983067:QBK983067 QLF983067:QLG983067 QVB983067:QVC983067 REX983067:REY983067 ROT983067:ROU983067 RYP983067:RYQ983067 SIL983067:SIM983067 SSH983067:SSI983067 TCD983067:TCE983067 TLZ983067:TMA983067 TVV983067:TVW983067 UFR983067:UFS983067 UPN983067:UPO983067 UZJ983067:UZK983067 VJF983067:VJG983067 VTB983067:VTC983067 WCX983067:WCY983067 WMT983067:WMU983067 WWP983067:WWQ983067">
      <formula1>$AH$15:$AH$17</formula1>
    </dataValidation>
    <dataValidation type="list" allowBlank="1" showInputMessage="1" showErrorMessage="1"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formula1>$AH$3:$AH$7</formula1>
    </dataValidation>
    <dataValidation type="list" allowBlank="1" showInputMessage="1" showErrorMessage="1" sqref="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$AJ$9:$AJ$12</formula1>
    </dataValidation>
    <dataValidation type="list" allowBlank="1" showInputMessage="1" showErrorMessage="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formula1>$AJ$3:$AJ$7</formula1>
    </dataValidation>
    <dataValidation type="list" allowBlank="1" showInputMessage="1" showErrorMessage="1"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formula1>$AD$3:$AD$6</formula1>
    </dataValidation>
    <dataValidation type="list" allowBlank="1" showInputMessage="1" showErrorMessage="1" sqref="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formula1>$AG$15:$AG$17</formula1>
    </dataValidation>
  </dataValidations>
  <hyperlinks>
    <hyperlink ref="B2"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5"/>
  <sheetViews>
    <sheetView workbookViewId="0">
      <selection activeCell="P2" sqref="P2"/>
    </sheetView>
  </sheetViews>
  <sheetFormatPr defaultRowHeight="15" x14ac:dyDescent="0.25"/>
  <cols>
    <col min="3" max="3" width="10" customWidth="1"/>
    <col min="4" max="4" width="12" customWidth="1"/>
    <col min="5" max="5" width="7" customWidth="1"/>
    <col min="6" max="6" width="2.140625" customWidth="1"/>
    <col min="259" max="259" width="10" customWidth="1"/>
    <col min="260" max="260" width="12" customWidth="1"/>
    <col min="261" max="261" width="7" customWidth="1"/>
    <col min="262" max="262" width="2.140625" customWidth="1"/>
    <col min="515" max="515" width="10" customWidth="1"/>
    <col min="516" max="516" width="12" customWidth="1"/>
    <col min="517" max="517" width="7" customWidth="1"/>
    <col min="518" max="518" width="2.140625" customWidth="1"/>
    <col min="771" max="771" width="10" customWidth="1"/>
    <col min="772" max="772" width="12" customWidth="1"/>
    <col min="773" max="773" width="7" customWidth="1"/>
    <col min="774" max="774" width="2.140625" customWidth="1"/>
    <col min="1027" max="1027" width="10" customWidth="1"/>
    <col min="1028" max="1028" width="12" customWidth="1"/>
    <col min="1029" max="1029" width="7" customWidth="1"/>
    <col min="1030" max="1030" width="2.140625" customWidth="1"/>
    <col min="1283" max="1283" width="10" customWidth="1"/>
    <col min="1284" max="1284" width="12" customWidth="1"/>
    <col min="1285" max="1285" width="7" customWidth="1"/>
    <col min="1286" max="1286" width="2.140625" customWidth="1"/>
    <col min="1539" max="1539" width="10" customWidth="1"/>
    <col min="1540" max="1540" width="12" customWidth="1"/>
    <col min="1541" max="1541" width="7" customWidth="1"/>
    <col min="1542" max="1542" width="2.140625" customWidth="1"/>
    <col min="1795" max="1795" width="10" customWidth="1"/>
    <col min="1796" max="1796" width="12" customWidth="1"/>
    <col min="1797" max="1797" width="7" customWidth="1"/>
    <col min="1798" max="1798" width="2.140625" customWidth="1"/>
    <col min="2051" max="2051" width="10" customWidth="1"/>
    <col min="2052" max="2052" width="12" customWidth="1"/>
    <col min="2053" max="2053" width="7" customWidth="1"/>
    <col min="2054" max="2054" width="2.140625" customWidth="1"/>
    <col min="2307" max="2307" width="10" customWidth="1"/>
    <col min="2308" max="2308" width="12" customWidth="1"/>
    <col min="2309" max="2309" width="7" customWidth="1"/>
    <col min="2310" max="2310" width="2.140625" customWidth="1"/>
    <col min="2563" max="2563" width="10" customWidth="1"/>
    <col min="2564" max="2564" width="12" customWidth="1"/>
    <col min="2565" max="2565" width="7" customWidth="1"/>
    <col min="2566" max="2566" width="2.140625" customWidth="1"/>
    <col min="2819" max="2819" width="10" customWidth="1"/>
    <col min="2820" max="2820" width="12" customWidth="1"/>
    <col min="2821" max="2821" width="7" customWidth="1"/>
    <col min="2822" max="2822" width="2.140625" customWidth="1"/>
    <col min="3075" max="3075" width="10" customWidth="1"/>
    <col min="3076" max="3076" width="12" customWidth="1"/>
    <col min="3077" max="3077" width="7" customWidth="1"/>
    <col min="3078" max="3078" width="2.140625" customWidth="1"/>
    <col min="3331" max="3331" width="10" customWidth="1"/>
    <col min="3332" max="3332" width="12" customWidth="1"/>
    <col min="3333" max="3333" width="7" customWidth="1"/>
    <col min="3334" max="3334" width="2.140625" customWidth="1"/>
    <col min="3587" max="3587" width="10" customWidth="1"/>
    <col min="3588" max="3588" width="12" customWidth="1"/>
    <col min="3589" max="3589" width="7" customWidth="1"/>
    <col min="3590" max="3590" width="2.140625" customWidth="1"/>
    <col min="3843" max="3843" width="10" customWidth="1"/>
    <col min="3844" max="3844" width="12" customWidth="1"/>
    <col min="3845" max="3845" width="7" customWidth="1"/>
    <col min="3846" max="3846" width="2.140625" customWidth="1"/>
    <col min="4099" max="4099" width="10" customWidth="1"/>
    <col min="4100" max="4100" width="12" customWidth="1"/>
    <col min="4101" max="4101" width="7" customWidth="1"/>
    <col min="4102" max="4102" width="2.140625" customWidth="1"/>
    <col min="4355" max="4355" width="10" customWidth="1"/>
    <col min="4356" max="4356" width="12" customWidth="1"/>
    <col min="4357" max="4357" width="7" customWidth="1"/>
    <col min="4358" max="4358" width="2.140625" customWidth="1"/>
    <col min="4611" max="4611" width="10" customWidth="1"/>
    <col min="4612" max="4612" width="12" customWidth="1"/>
    <col min="4613" max="4613" width="7" customWidth="1"/>
    <col min="4614" max="4614" width="2.140625" customWidth="1"/>
    <col min="4867" max="4867" width="10" customWidth="1"/>
    <col min="4868" max="4868" width="12" customWidth="1"/>
    <col min="4869" max="4869" width="7" customWidth="1"/>
    <col min="4870" max="4870" width="2.140625" customWidth="1"/>
    <col min="5123" max="5123" width="10" customWidth="1"/>
    <col min="5124" max="5124" width="12" customWidth="1"/>
    <col min="5125" max="5125" width="7" customWidth="1"/>
    <col min="5126" max="5126" width="2.140625" customWidth="1"/>
    <col min="5379" max="5379" width="10" customWidth="1"/>
    <col min="5380" max="5380" width="12" customWidth="1"/>
    <col min="5381" max="5381" width="7" customWidth="1"/>
    <col min="5382" max="5382" width="2.140625" customWidth="1"/>
    <col min="5635" max="5635" width="10" customWidth="1"/>
    <col min="5636" max="5636" width="12" customWidth="1"/>
    <col min="5637" max="5637" width="7" customWidth="1"/>
    <col min="5638" max="5638" width="2.140625" customWidth="1"/>
    <col min="5891" max="5891" width="10" customWidth="1"/>
    <col min="5892" max="5892" width="12" customWidth="1"/>
    <col min="5893" max="5893" width="7" customWidth="1"/>
    <col min="5894" max="5894" width="2.140625" customWidth="1"/>
    <col min="6147" max="6147" width="10" customWidth="1"/>
    <col min="6148" max="6148" width="12" customWidth="1"/>
    <col min="6149" max="6149" width="7" customWidth="1"/>
    <col min="6150" max="6150" width="2.140625" customWidth="1"/>
    <col min="6403" max="6403" width="10" customWidth="1"/>
    <col min="6404" max="6404" width="12" customWidth="1"/>
    <col min="6405" max="6405" width="7" customWidth="1"/>
    <col min="6406" max="6406" width="2.140625" customWidth="1"/>
    <col min="6659" max="6659" width="10" customWidth="1"/>
    <col min="6660" max="6660" width="12" customWidth="1"/>
    <col min="6661" max="6661" width="7" customWidth="1"/>
    <col min="6662" max="6662" width="2.140625" customWidth="1"/>
    <col min="6915" max="6915" width="10" customWidth="1"/>
    <col min="6916" max="6916" width="12" customWidth="1"/>
    <col min="6917" max="6917" width="7" customWidth="1"/>
    <col min="6918" max="6918" width="2.140625" customWidth="1"/>
    <col min="7171" max="7171" width="10" customWidth="1"/>
    <col min="7172" max="7172" width="12" customWidth="1"/>
    <col min="7173" max="7173" width="7" customWidth="1"/>
    <col min="7174" max="7174" width="2.140625" customWidth="1"/>
    <col min="7427" max="7427" width="10" customWidth="1"/>
    <col min="7428" max="7428" width="12" customWidth="1"/>
    <col min="7429" max="7429" width="7" customWidth="1"/>
    <col min="7430" max="7430" width="2.140625" customWidth="1"/>
    <col min="7683" max="7683" width="10" customWidth="1"/>
    <col min="7684" max="7684" width="12" customWidth="1"/>
    <col min="7685" max="7685" width="7" customWidth="1"/>
    <col min="7686" max="7686" width="2.140625" customWidth="1"/>
    <col min="7939" max="7939" width="10" customWidth="1"/>
    <col min="7940" max="7940" width="12" customWidth="1"/>
    <col min="7941" max="7941" width="7" customWidth="1"/>
    <col min="7942" max="7942" width="2.140625" customWidth="1"/>
    <col min="8195" max="8195" width="10" customWidth="1"/>
    <col min="8196" max="8196" width="12" customWidth="1"/>
    <col min="8197" max="8197" width="7" customWidth="1"/>
    <col min="8198" max="8198" width="2.140625" customWidth="1"/>
    <col min="8451" max="8451" width="10" customWidth="1"/>
    <col min="8452" max="8452" width="12" customWidth="1"/>
    <col min="8453" max="8453" width="7" customWidth="1"/>
    <col min="8454" max="8454" width="2.140625" customWidth="1"/>
    <col min="8707" max="8707" width="10" customWidth="1"/>
    <col min="8708" max="8708" width="12" customWidth="1"/>
    <col min="8709" max="8709" width="7" customWidth="1"/>
    <col min="8710" max="8710" width="2.140625" customWidth="1"/>
    <col min="8963" max="8963" width="10" customWidth="1"/>
    <col min="8964" max="8964" width="12" customWidth="1"/>
    <col min="8965" max="8965" width="7" customWidth="1"/>
    <col min="8966" max="8966" width="2.140625" customWidth="1"/>
    <col min="9219" max="9219" width="10" customWidth="1"/>
    <col min="9220" max="9220" width="12" customWidth="1"/>
    <col min="9221" max="9221" width="7" customWidth="1"/>
    <col min="9222" max="9222" width="2.140625" customWidth="1"/>
    <col min="9475" max="9475" width="10" customWidth="1"/>
    <col min="9476" max="9476" width="12" customWidth="1"/>
    <col min="9477" max="9477" width="7" customWidth="1"/>
    <col min="9478" max="9478" width="2.140625" customWidth="1"/>
    <col min="9731" max="9731" width="10" customWidth="1"/>
    <col min="9732" max="9732" width="12" customWidth="1"/>
    <col min="9733" max="9733" width="7" customWidth="1"/>
    <col min="9734" max="9734" width="2.140625" customWidth="1"/>
    <col min="9987" max="9987" width="10" customWidth="1"/>
    <col min="9988" max="9988" width="12" customWidth="1"/>
    <col min="9989" max="9989" width="7" customWidth="1"/>
    <col min="9990" max="9990" width="2.140625" customWidth="1"/>
    <col min="10243" max="10243" width="10" customWidth="1"/>
    <col min="10244" max="10244" width="12" customWidth="1"/>
    <col min="10245" max="10245" width="7" customWidth="1"/>
    <col min="10246" max="10246" width="2.140625" customWidth="1"/>
    <col min="10499" max="10499" width="10" customWidth="1"/>
    <col min="10500" max="10500" width="12" customWidth="1"/>
    <col min="10501" max="10501" width="7" customWidth="1"/>
    <col min="10502" max="10502" width="2.140625" customWidth="1"/>
    <col min="10755" max="10755" width="10" customWidth="1"/>
    <col min="10756" max="10756" width="12" customWidth="1"/>
    <col min="10757" max="10757" width="7" customWidth="1"/>
    <col min="10758" max="10758" width="2.140625" customWidth="1"/>
    <col min="11011" max="11011" width="10" customWidth="1"/>
    <col min="11012" max="11012" width="12" customWidth="1"/>
    <col min="11013" max="11013" width="7" customWidth="1"/>
    <col min="11014" max="11014" width="2.140625" customWidth="1"/>
    <col min="11267" max="11267" width="10" customWidth="1"/>
    <col min="11268" max="11268" width="12" customWidth="1"/>
    <col min="11269" max="11269" width="7" customWidth="1"/>
    <col min="11270" max="11270" width="2.140625" customWidth="1"/>
    <col min="11523" max="11523" width="10" customWidth="1"/>
    <col min="11524" max="11524" width="12" customWidth="1"/>
    <col min="11525" max="11525" width="7" customWidth="1"/>
    <col min="11526" max="11526" width="2.140625" customWidth="1"/>
    <col min="11779" max="11779" width="10" customWidth="1"/>
    <col min="11780" max="11780" width="12" customWidth="1"/>
    <col min="11781" max="11781" width="7" customWidth="1"/>
    <col min="11782" max="11782" width="2.140625" customWidth="1"/>
    <col min="12035" max="12035" width="10" customWidth="1"/>
    <col min="12036" max="12036" width="12" customWidth="1"/>
    <col min="12037" max="12037" width="7" customWidth="1"/>
    <col min="12038" max="12038" width="2.140625" customWidth="1"/>
    <col min="12291" max="12291" width="10" customWidth="1"/>
    <col min="12292" max="12292" width="12" customWidth="1"/>
    <col min="12293" max="12293" width="7" customWidth="1"/>
    <col min="12294" max="12294" width="2.140625" customWidth="1"/>
    <col min="12547" max="12547" width="10" customWidth="1"/>
    <col min="12548" max="12548" width="12" customWidth="1"/>
    <col min="12549" max="12549" width="7" customWidth="1"/>
    <col min="12550" max="12550" width="2.140625" customWidth="1"/>
    <col min="12803" max="12803" width="10" customWidth="1"/>
    <col min="12804" max="12804" width="12" customWidth="1"/>
    <col min="12805" max="12805" width="7" customWidth="1"/>
    <col min="12806" max="12806" width="2.140625" customWidth="1"/>
    <col min="13059" max="13059" width="10" customWidth="1"/>
    <col min="13060" max="13060" width="12" customWidth="1"/>
    <col min="13061" max="13061" width="7" customWidth="1"/>
    <col min="13062" max="13062" width="2.140625" customWidth="1"/>
    <col min="13315" max="13315" width="10" customWidth="1"/>
    <col min="13316" max="13316" width="12" customWidth="1"/>
    <col min="13317" max="13317" width="7" customWidth="1"/>
    <col min="13318" max="13318" width="2.140625" customWidth="1"/>
    <col min="13571" max="13571" width="10" customWidth="1"/>
    <col min="13572" max="13572" width="12" customWidth="1"/>
    <col min="13573" max="13573" width="7" customWidth="1"/>
    <col min="13574" max="13574" width="2.140625" customWidth="1"/>
    <col min="13827" max="13827" width="10" customWidth="1"/>
    <col min="13828" max="13828" width="12" customWidth="1"/>
    <col min="13829" max="13829" width="7" customWidth="1"/>
    <col min="13830" max="13830" width="2.140625" customWidth="1"/>
    <col min="14083" max="14083" width="10" customWidth="1"/>
    <col min="14084" max="14084" width="12" customWidth="1"/>
    <col min="14085" max="14085" width="7" customWidth="1"/>
    <col min="14086" max="14086" width="2.140625" customWidth="1"/>
    <col min="14339" max="14339" width="10" customWidth="1"/>
    <col min="14340" max="14340" width="12" customWidth="1"/>
    <col min="14341" max="14341" width="7" customWidth="1"/>
    <col min="14342" max="14342" width="2.140625" customWidth="1"/>
    <col min="14595" max="14595" width="10" customWidth="1"/>
    <col min="14596" max="14596" width="12" customWidth="1"/>
    <col min="14597" max="14597" width="7" customWidth="1"/>
    <col min="14598" max="14598" width="2.140625" customWidth="1"/>
    <col min="14851" max="14851" width="10" customWidth="1"/>
    <col min="14852" max="14852" width="12" customWidth="1"/>
    <col min="14853" max="14853" width="7" customWidth="1"/>
    <col min="14854" max="14854" width="2.140625" customWidth="1"/>
    <col min="15107" max="15107" width="10" customWidth="1"/>
    <col min="15108" max="15108" width="12" customWidth="1"/>
    <col min="15109" max="15109" width="7" customWidth="1"/>
    <col min="15110" max="15110" width="2.140625" customWidth="1"/>
    <col min="15363" max="15363" width="10" customWidth="1"/>
    <col min="15364" max="15364" width="12" customWidth="1"/>
    <col min="15365" max="15365" width="7" customWidth="1"/>
    <col min="15366" max="15366" width="2.140625" customWidth="1"/>
    <col min="15619" max="15619" width="10" customWidth="1"/>
    <col min="15620" max="15620" width="12" customWidth="1"/>
    <col min="15621" max="15621" width="7" customWidth="1"/>
    <col min="15622" max="15622" width="2.140625" customWidth="1"/>
    <col min="15875" max="15875" width="10" customWidth="1"/>
    <col min="15876" max="15876" width="12" customWidth="1"/>
    <col min="15877" max="15877" width="7" customWidth="1"/>
    <col min="15878" max="15878" width="2.140625" customWidth="1"/>
    <col min="16131" max="16131" width="10" customWidth="1"/>
    <col min="16132" max="16132" width="12" customWidth="1"/>
    <col min="16133" max="16133" width="7" customWidth="1"/>
    <col min="16134" max="16134" width="2.140625" customWidth="1"/>
  </cols>
  <sheetData>
    <row r="2" spans="2:20" ht="33" x14ac:dyDescent="0.8">
      <c r="B2" s="232" t="s">
        <v>269</v>
      </c>
      <c r="I2" s="232"/>
      <c r="P2" s="233"/>
    </row>
    <row r="4" spans="2:20" ht="15.75" thickBot="1" x14ac:dyDescent="0.3">
      <c r="C4" s="190" t="s">
        <v>270</v>
      </c>
      <c r="G4" s="190" t="s">
        <v>271</v>
      </c>
    </row>
    <row r="5" spans="2:20" x14ac:dyDescent="0.25">
      <c r="B5" s="7" t="s">
        <v>272</v>
      </c>
      <c r="C5" s="234" t="s">
        <v>273</v>
      </c>
      <c r="D5" s="235"/>
      <c r="E5" s="236"/>
      <c r="G5" s="237" t="s">
        <v>274</v>
      </c>
      <c r="H5" s="73"/>
      <c r="I5" s="73"/>
      <c r="J5" s="73"/>
      <c r="K5" s="73"/>
      <c r="L5" s="73"/>
      <c r="M5" s="73"/>
      <c r="N5" s="238"/>
      <c r="O5" s="37"/>
      <c r="P5" s="37"/>
      <c r="Q5" s="37"/>
      <c r="R5" s="37"/>
      <c r="S5" s="37"/>
      <c r="T5" s="37"/>
    </row>
    <row r="6" spans="2:20" x14ac:dyDescent="0.25">
      <c r="C6" s="239" t="s">
        <v>275</v>
      </c>
      <c r="D6" s="240"/>
      <c r="E6" s="241"/>
      <c r="G6" s="356"/>
      <c r="H6" s="357"/>
      <c r="I6" s="357"/>
      <c r="J6" s="357"/>
      <c r="K6" s="357"/>
      <c r="L6" s="357"/>
      <c r="M6" s="357"/>
      <c r="N6" s="358"/>
      <c r="O6" s="242"/>
      <c r="P6" s="242"/>
      <c r="Q6" s="242"/>
      <c r="R6" s="242"/>
      <c r="S6" s="242"/>
      <c r="T6" s="242"/>
    </row>
    <row r="7" spans="2:20" x14ac:dyDescent="0.25">
      <c r="C7" s="243" t="s">
        <v>276</v>
      </c>
      <c r="D7" s="244"/>
      <c r="E7" s="245"/>
      <c r="G7" s="359"/>
      <c r="H7" s="360"/>
      <c r="I7" s="360"/>
      <c r="J7" s="360"/>
      <c r="K7" s="360"/>
      <c r="L7" s="360"/>
      <c r="M7" s="360"/>
      <c r="N7" s="361"/>
      <c r="O7" s="242"/>
      <c r="P7" s="242"/>
      <c r="Q7" s="242"/>
      <c r="R7" s="242"/>
      <c r="S7" s="242"/>
      <c r="T7" s="242"/>
    </row>
    <row r="8" spans="2:20" x14ac:dyDescent="0.25">
      <c r="C8" s="246"/>
      <c r="D8" s="247"/>
      <c r="E8" s="248"/>
      <c r="G8" s="362"/>
      <c r="H8" s="363"/>
      <c r="I8" s="363"/>
      <c r="J8" s="363"/>
      <c r="K8" s="363"/>
      <c r="L8" s="363"/>
      <c r="M8" s="363"/>
      <c r="N8" s="364"/>
      <c r="O8" s="242"/>
      <c r="P8" s="242"/>
      <c r="Q8" s="242"/>
      <c r="R8" s="242"/>
      <c r="S8" s="242"/>
      <c r="T8" s="242"/>
    </row>
    <row r="9" spans="2:20" x14ac:dyDescent="0.25">
      <c r="C9" s="246"/>
      <c r="D9" s="249"/>
      <c r="E9" s="250"/>
      <c r="G9" s="251"/>
      <c r="H9" s="252"/>
      <c r="I9" s="252"/>
      <c r="J9" s="252"/>
      <c r="K9" s="252"/>
      <c r="L9" s="252"/>
      <c r="M9" s="252"/>
      <c r="N9" s="253"/>
      <c r="O9" s="254"/>
      <c r="P9" s="254"/>
      <c r="Q9" s="254"/>
      <c r="R9" s="254"/>
      <c r="S9" s="254"/>
      <c r="T9" s="254"/>
    </row>
    <row r="10" spans="2:20" x14ac:dyDescent="0.25">
      <c r="B10" s="7" t="s">
        <v>181</v>
      </c>
      <c r="C10" s="255" t="s">
        <v>277</v>
      </c>
      <c r="D10" s="256">
        <f>[1]Field!D6</f>
        <v>1.3996370162172747</v>
      </c>
      <c r="E10" s="257"/>
      <c r="G10" s="258" t="s">
        <v>278</v>
      </c>
      <c r="H10" s="13"/>
      <c r="I10" s="13"/>
      <c r="J10" s="13"/>
      <c r="K10" s="13"/>
      <c r="L10" s="13"/>
      <c r="M10" s="13"/>
      <c r="N10" s="76"/>
      <c r="O10" s="37"/>
      <c r="P10" s="37"/>
      <c r="Q10" s="37"/>
      <c r="R10" s="37"/>
      <c r="S10" s="37"/>
      <c r="T10" s="37"/>
    </row>
    <row r="11" spans="2:20" x14ac:dyDescent="0.25">
      <c r="C11" s="239" t="s">
        <v>279</v>
      </c>
      <c r="D11" s="259" t="str">
        <f>[1]Field!D9</f>
        <v>Silt Loam</v>
      </c>
      <c r="E11" s="76"/>
      <c r="G11" s="350" t="str">
        <f>[1]Seasonal!N3</f>
        <v>Optimum or above optimum infiltration: soils are well maintained. Check measurements for above optimum flows and be careful that deep percolation and/or groundwater flows are not interferring with neighboring irrigation water management or river basin salinity problems.</v>
      </c>
      <c r="H11" s="308"/>
      <c r="I11" s="308"/>
      <c r="J11" s="308"/>
      <c r="K11" s="308"/>
      <c r="L11" s="308"/>
      <c r="M11" s="308"/>
      <c r="N11" s="365"/>
      <c r="O11" s="260"/>
      <c r="P11" s="260"/>
      <c r="Q11" s="260"/>
      <c r="R11" s="260"/>
      <c r="S11" s="260"/>
      <c r="T11" s="260"/>
    </row>
    <row r="12" spans="2:20" x14ac:dyDescent="0.25">
      <c r="C12" s="239" t="s">
        <v>280</v>
      </c>
      <c r="D12" s="261">
        <f>[1]Seasonal!C7</f>
        <v>0.61882319829829191</v>
      </c>
      <c r="E12" s="262" t="s">
        <v>148</v>
      </c>
      <c r="G12" s="366"/>
      <c r="H12" s="316"/>
      <c r="I12" s="316"/>
      <c r="J12" s="316"/>
      <c r="K12" s="316"/>
      <c r="L12" s="316"/>
      <c r="M12" s="316"/>
      <c r="N12" s="367"/>
      <c r="O12" s="260"/>
      <c r="P12" s="260"/>
      <c r="Q12" s="260"/>
      <c r="R12" s="260"/>
      <c r="S12" s="260"/>
      <c r="T12" s="260"/>
    </row>
    <row r="13" spans="2:20" x14ac:dyDescent="0.25">
      <c r="C13" s="243" t="s">
        <v>281</v>
      </c>
      <c r="D13" s="263" t="str">
        <f>[1]Field!D8</f>
        <v>Pasture/Turf</v>
      </c>
      <c r="E13" s="264"/>
      <c r="G13" s="366"/>
      <c r="H13" s="316"/>
      <c r="I13" s="316"/>
      <c r="J13" s="316"/>
      <c r="K13" s="316"/>
      <c r="L13" s="316"/>
      <c r="M13" s="316"/>
      <c r="N13" s="367"/>
      <c r="O13" s="260"/>
      <c r="P13" s="260"/>
      <c r="Q13" s="260"/>
      <c r="R13" s="260"/>
      <c r="S13" s="260"/>
      <c r="T13" s="260"/>
    </row>
    <row r="14" spans="2:20" x14ac:dyDescent="0.25">
      <c r="C14" s="246"/>
      <c r="D14" s="249"/>
      <c r="E14" s="250"/>
      <c r="G14" s="368"/>
      <c r="H14" s="314"/>
      <c r="I14" s="314"/>
      <c r="J14" s="314"/>
      <c r="K14" s="314"/>
      <c r="L14" s="314"/>
      <c r="M14" s="314"/>
      <c r="N14" s="369"/>
      <c r="O14" s="265"/>
      <c r="P14" s="265"/>
      <c r="Q14" s="265"/>
      <c r="R14" s="265"/>
      <c r="S14" s="265"/>
      <c r="T14" s="265"/>
    </row>
    <row r="15" spans="2:20" x14ac:dyDescent="0.25">
      <c r="C15" s="246"/>
      <c r="D15" s="249"/>
      <c r="E15" s="250"/>
      <c r="G15" s="251"/>
      <c r="H15" s="252"/>
      <c r="I15" s="252"/>
      <c r="J15" s="252"/>
      <c r="K15" s="252"/>
      <c r="L15" s="252"/>
      <c r="M15" s="252"/>
      <c r="N15" s="253"/>
      <c r="O15" s="254"/>
      <c r="P15" s="254"/>
      <c r="Q15" s="254"/>
      <c r="R15" s="254"/>
      <c r="S15" s="254"/>
      <c r="T15" s="254"/>
    </row>
    <row r="16" spans="2:20" x14ac:dyDescent="0.25">
      <c r="B16" s="7" t="s">
        <v>282</v>
      </c>
      <c r="C16" s="255" t="s">
        <v>283</v>
      </c>
      <c r="D16" s="266">
        <f>ROUND([1]Field!C25,0)</f>
        <v>69</v>
      </c>
      <c r="E16" s="267" t="s">
        <v>28</v>
      </c>
      <c r="G16" s="350" t="str">
        <f>[1]Seasonal!N16</f>
        <v>Even grade field: is a good foundation for effective irrigation. It's important that topography is accounted for with sufficient line pressure.</v>
      </c>
      <c r="H16" s="308"/>
      <c r="I16" s="308"/>
      <c r="J16" s="308"/>
      <c r="K16" s="308"/>
      <c r="L16" s="308"/>
      <c r="M16" s="308"/>
      <c r="N16" s="365"/>
      <c r="O16" s="260"/>
      <c r="P16" s="260"/>
      <c r="Q16" s="260"/>
      <c r="R16" s="260"/>
      <c r="S16" s="260"/>
      <c r="T16" s="260"/>
    </row>
    <row r="17" spans="2:20" x14ac:dyDescent="0.25">
      <c r="C17" s="239" t="s">
        <v>284</v>
      </c>
      <c r="D17" s="268">
        <f>[1]Field!D29</f>
        <v>0.49670048960476831</v>
      </c>
      <c r="E17" s="76"/>
      <c r="G17" s="368"/>
      <c r="H17" s="314"/>
      <c r="I17" s="314"/>
      <c r="J17" s="314"/>
      <c r="K17" s="314"/>
      <c r="L17" s="314"/>
      <c r="M17" s="314"/>
      <c r="N17" s="369"/>
      <c r="O17" s="260"/>
      <c r="P17" s="260"/>
      <c r="Q17" s="260"/>
      <c r="R17" s="260"/>
      <c r="S17" s="260"/>
      <c r="T17" s="260"/>
    </row>
    <row r="18" spans="2:20" ht="12.75" customHeight="1" x14ac:dyDescent="0.25">
      <c r="C18" s="239" t="s">
        <v>285</v>
      </c>
      <c r="D18" s="268">
        <f>[1]Field!D35</f>
        <v>0.71943000726675177</v>
      </c>
      <c r="E18" s="76"/>
      <c r="G18" s="350" t="str">
        <f>[1]Seasonal!N20</f>
        <v>Poor DU (&lt;50%) Application Rate at end heads is lower than middle. Recommend: address supply problem - line/nozzle size or (pump) pressure</v>
      </c>
      <c r="H18" s="308"/>
      <c r="I18" s="308"/>
      <c r="J18" s="308"/>
      <c r="K18" s="308"/>
      <c r="L18" s="308"/>
      <c r="M18" s="308"/>
      <c r="N18" s="365"/>
      <c r="O18" s="260"/>
      <c r="P18" s="260"/>
      <c r="Q18" s="260"/>
      <c r="R18" s="260"/>
      <c r="S18" s="260"/>
      <c r="T18" s="260"/>
    </row>
    <row r="19" spans="2:20" ht="12.75" customHeight="1" x14ac:dyDescent="0.25">
      <c r="C19" s="243" t="s">
        <v>286</v>
      </c>
      <c r="D19" s="269">
        <f>[1]Seasonal!C35</f>
        <v>0.51764547413793094</v>
      </c>
      <c r="E19" s="264"/>
      <c r="G19" s="368"/>
      <c r="H19" s="314"/>
      <c r="I19" s="314"/>
      <c r="J19" s="314"/>
      <c r="K19" s="314"/>
      <c r="L19" s="314"/>
      <c r="M19" s="314"/>
      <c r="N19" s="369"/>
      <c r="O19" s="260"/>
      <c r="P19" s="260"/>
      <c r="Q19" s="260"/>
      <c r="R19" s="260"/>
      <c r="S19" s="260"/>
      <c r="T19" s="260"/>
    </row>
    <row r="20" spans="2:20" ht="12.75" customHeight="1" x14ac:dyDescent="0.25">
      <c r="C20" s="246"/>
      <c r="D20" s="270"/>
      <c r="E20" s="250"/>
      <c r="G20" s="350" t="str">
        <f>[1]Seasonal!N26</f>
        <v>Additional DU recommendations: Need less distance between moves (69ft) for every move across field technique</v>
      </c>
      <c r="H20" s="308"/>
      <c r="I20" s="308"/>
      <c r="J20" s="308"/>
      <c r="K20" s="308"/>
      <c r="L20" s="308"/>
      <c r="M20" s="308"/>
      <c r="N20" s="365"/>
      <c r="O20" s="265"/>
      <c r="P20" s="265"/>
      <c r="Q20" s="265"/>
      <c r="R20" s="265"/>
      <c r="S20" s="265"/>
      <c r="T20" s="265"/>
    </row>
    <row r="21" spans="2:20" ht="12.75" customHeight="1" x14ac:dyDescent="0.25">
      <c r="C21" s="246"/>
      <c r="D21" s="249"/>
      <c r="E21" s="250"/>
      <c r="G21" s="368"/>
      <c r="H21" s="314"/>
      <c r="I21" s="314"/>
      <c r="J21" s="314"/>
      <c r="K21" s="314"/>
      <c r="L21" s="314"/>
      <c r="M21" s="314"/>
      <c r="N21" s="369"/>
      <c r="O21" s="265"/>
      <c r="P21" s="265"/>
      <c r="Q21" s="265"/>
      <c r="R21" s="265"/>
      <c r="S21" s="265"/>
      <c r="T21" s="265"/>
    </row>
    <row r="22" spans="2:20" x14ac:dyDescent="0.25">
      <c r="B22" s="7" t="s">
        <v>287</v>
      </c>
      <c r="C22" s="255" t="s">
        <v>288</v>
      </c>
      <c r="D22" s="256">
        <f>[1]Snapshot!F34</f>
        <v>0.33207158246072105</v>
      </c>
      <c r="E22" s="267" t="s">
        <v>148</v>
      </c>
      <c r="G22" s="350" t="str">
        <f>[1]Seasonal!N30</f>
        <v>Seasonal Irrigation Efficiency is good. Continue to monitor soil moisture and local ET values to enhance your irrigation management.</v>
      </c>
      <c r="H22" s="351"/>
      <c r="I22" s="351"/>
      <c r="J22" s="351"/>
      <c r="K22" s="351"/>
      <c r="L22" s="351"/>
      <c r="M22" s="351"/>
      <c r="N22" s="352"/>
      <c r="O22" s="260"/>
      <c r="P22" s="260"/>
      <c r="Q22" s="260"/>
      <c r="R22" s="260"/>
      <c r="S22" s="260"/>
      <c r="T22" s="260"/>
    </row>
    <row r="23" spans="2:20" x14ac:dyDescent="0.25">
      <c r="C23" s="239" t="s">
        <v>289</v>
      </c>
      <c r="D23" s="259">
        <f>[1]Field!C23</f>
        <v>11.5</v>
      </c>
      <c r="E23" s="76" t="s">
        <v>290</v>
      </c>
      <c r="G23" s="370"/>
      <c r="H23" s="371"/>
      <c r="I23" s="371"/>
      <c r="J23" s="371"/>
      <c r="K23" s="371"/>
      <c r="L23" s="371"/>
      <c r="M23" s="371"/>
      <c r="N23" s="372"/>
      <c r="O23" s="271"/>
      <c r="P23" s="271"/>
      <c r="Q23" s="271"/>
      <c r="R23" s="271"/>
      <c r="S23" s="271"/>
      <c r="T23" s="271"/>
    </row>
    <row r="24" spans="2:20" x14ac:dyDescent="0.25">
      <c r="C24" s="239" t="s">
        <v>291</v>
      </c>
      <c r="D24" s="261">
        <f>[1]Field!M30</f>
        <v>4.447965705736121</v>
      </c>
      <c r="E24" s="76" t="s">
        <v>292</v>
      </c>
      <c r="G24" s="350" t="str">
        <f>[1]Seasonal!N37</f>
        <v/>
      </c>
      <c r="H24" s="351"/>
      <c r="I24" s="351"/>
      <c r="J24" s="351"/>
      <c r="K24" s="351"/>
      <c r="L24" s="351"/>
      <c r="M24" s="351"/>
      <c r="N24" s="352"/>
      <c r="O24" s="254"/>
      <c r="P24" s="254"/>
      <c r="Q24" s="254"/>
      <c r="R24" s="254"/>
      <c r="S24" s="254"/>
      <c r="T24" s="254"/>
    </row>
    <row r="25" spans="2:20" ht="15.75" thickBot="1" x14ac:dyDescent="0.3">
      <c r="C25" s="272" t="s">
        <v>293</v>
      </c>
      <c r="D25" s="273">
        <f>[1]Field!D34</f>
        <v>0.61882319829829191</v>
      </c>
      <c r="E25" s="45" t="s">
        <v>292</v>
      </c>
      <c r="G25" s="353"/>
      <c r="H25" s="354"/>
      <c r="I25" s="354"/>
      <c r="J25" s="354"/>
      <c r="K25" s="354"/>
      <c r="L25" s="354"/>
      <c r="M25" s="354"/>
      <c r="N25" s="355"/>
      <c r="O25" s="271"/>
      <c r="P25" s="271"/>
      <c r="Q25" s="271"/>
      <c r="R25" s="271"/>
      <c r="S25" s="271"/>
      <c r="T25" s="271"/>
    </row>
    <row r="28" spans="2:20" x14ac:dyDescent="0.25">
      <c r="G28" s="100" t="s">
        <v>294</v>
      </c>
    </row>
    <row r="32" spans="2:20" x14ac:dyDescent="0.25">
      <c r="R32" s="274"/>
    </row>
    <row r="34" spans="7:7" x14ac:dyDescent="0.25">
      <c r="G34" s="275" t="s">
        <v>295</v>
      </c>
    </row>
    <row r="35" spans="7:7" x14ac:dyDescent="0.25">
      <c r="G35" s="275" t="s">
        <v>296</v>
      </c>
    </row>
  </sheetData>
  <mergeCells count="7">
    <mergeCell ref="G24:N25"/>
    <mergeCell ref="G6:N8"/>
    <mergeCell ref="G11:N14"/>
    <mergeCell ref="G16:N17"/>
    <mergeCell ref="G18:N19"/>
    <mergeCell ref="G20:N21"/>
    <mergeCell ref="G22:N2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workbookViewId="0">
      <selection activeCell="C12" sqref="C12"/>
    </sheetView>
  </sheetViews>
  <sheetFormatPr defaultRowHeight="15" x14ac:dyDescent="0.25"/>
  <sheetData>
    <row r="2" spans="2:3" x14ac:dyDescent="0.25">
      <c r="B2">
        <v>43560</v>
      </c>
      <c r="C2" t="s">
        <v>297</v>
      </c>
    </row>
    <row r="3" spans="2:3" x14ac:dyDescent="0.25">
      <c r="B3">
        <v>7.48</v>
      </c>
      <c r="C3" t="s">
        <v>298</v>
      </c>
    </row>
    <row r="4" spans="2:3" x14ac:dyDescent="0.25">
      <c r="B4">
        <v>325851.38500000001</v>
      </c>
      <c r="C4" t="s">
        <v>299</v>
      </c>
    </row>
    <row r="5" spans="2:3" x14ac:dyDescent="0.25">
      <c r="B5">
        <f>gal_cuft*60</f>
        <v>448.8</v>
      </c>
      <c r="C5" t="s">
        <v>300</v>
      </c>
    </row>
    <row r="6" spans="2:3" x14ac:dyDescent="0.25">
      <c r="B6">
        <f>gal_acft/12</f>
        <v>27154.282083333335</v>
      </c>
      <c r="C6" t="s">
        <v>301</v>
      </c>
    </row>
    <row r="7" spans="2:3" x14ac:dyDescent="0.25">
      <c r="B7">
        <f>24.3</f>
        <v>24.3</v>
      </c>
      <c r="C7" t="s">
        <v>302</v>
      </c>
    </row>
    <row r="8" spans="2:3" x14ac:dyDescent="0.25">
      <c r="B8">
        <v>6.1023743836800003E-2</v>
      </c>
      <c r="C8"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Field</vt:lpstr>
      <vt:lpstr>Snapshot</vt:lpstr>
      <vt:lpstr>Seasonal</vt:lpstr>
      <vt:lpstr>Report</vt:lpstr>
      <vt:lpstr>Conversions</vt:lpstr>
      <vt:lpstr>CanSA</vt:lpstr>
      <vt:lpstr>gal_cuft</vt:lpstr>
      <vt:lpstr>Report!Print_Area</vt:lpstr>
      <vt:lpstr>Qerr</vt:lpstr>
      <vt:lpstr>TotQ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dc:creator>
  <cp:lastModifiedBy>Ruth Willson</cp:lastModifiedBy>
  <cp:lastPrinted>2010-10-07T17:43:10Z</cp:lastPrinted>
  <dcterms:created xsi:type="dcterms:W3CDTF">2010-10-07T17:25:25Z</dcterms:created>
  <dcterms:modified xsi:type="dcterms:W3CDTF">2010-10-08T18:22:51Z</dcterms:modified>
</cp:coreProperties>
</file>