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ellie Clark\Desktop\ABM\"/>
    </mc:Choice>
  </mc:AlternateContent>
  <bookViews>
    <workbookView xWindow="0" yWindow="0" windowWidth="17970" windowHeight="6135" tabRatio="838"/>
  </bookViews>
  <sheets>
    <sheet name="Welcome" sheetId="15" r:id="rId1"/>
    <sheet name="Input" sheetId="20" r:id="rId2"/>
    <sheet name="Start-Up Costs" sheetId="16" r:id="rId3"/>
    <sheet name="Enterprise Budget" sheetId="17" r:id="rId4"/>
    <sheet name="Net Present Value" sheetId="18" r:id="rId5"/>
    <sheet name="Notes" sheetId="19" state="hidden" r:id="rId6"/>
  </sheets>
  <definedNames>
    <definedName name="Bale_Type">#REF!</definedName>
    <definedName name="Bale_Types">Notes!$B$7:$B$9</definedName>
    <definedName name="Cuttings">Notes!$H$12:$H$14</definedName>
    <definedName name="Dry_Matter_Intake">Notes!$F$17:$F$24</definedName>
    <definedName name="Harvest_Efficiency">Notes!$F$3:$F$13</definedName>
    <definedName name="Irrigated">Notes!$B$7:$B$8</definedName>
    <definedName name="_xlnm.Print_Area" localSheetId="3">'Enterprise Budget'!$D$2:$V$71</definedName>
    <definedName name="_xlnm.Print_Area" localSheetId="1">Input!$C$2:$U$47</definedName>
    <definedName name="_xlnm.Print_Area" localSheetId="4">'Net Present Value'!$B$1:$P$125</definedName>
    <definedName name="_xlnm.Print_Area" localSheetId="2">'Start-Up Costs'!$D$2:$T$26</definedName>
    <definedName name="_xlnm.Print_Area" localSheetId="0">Welcome!$B$3:$Q$14</definedName>
    <definedName name="Print_Area_MI">#REF!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15" i="18" l="1"/>
  <c r="O117" i="18" s="1"/>
  <c r="G118" i="18"/>
  <c r="G117" i="18"/>
  <c r="P41" i="20"/>
  <c r="P22" i="20"/>
  <c r="P42" i="20"/>
  <c r="P31" i="20"/>
  <c r="P32" i="20" s="1"/>
  <c r="P33" i="20" s="1"/>
  <c r="J41" i="17" s="1"/>
  <c r="F69" i="17" s="1"/>
  <c r="E32" i="20"/>
  <c r="E34" i="20"/>
  <c r="K24" i="16"/>
  <c r="N24" i="16"/>
  <c r="Q24" i="16"/>
  <c r="T24" i="16"/>
  <c r="N22" i="16"/>
  <c r="Q22" i="16"/>
  <c r="T22" i="16"/>
  <c r="K22" i="16"/>
  <c r="T21" i="16"/>
  <c r="N21" i="16"/>
  <c r="Q20" i="16"/>
  <c r="N18" i="16"/>
  <c r="Q18" i="16"/>
  <c r="T18" i="16"/>
  <c r="N19" i="16"/>
  <c r="Q19" i="16"/>
  <c r="T19" i="16"/>
  <c r="N14" i="16"/>
  <c r="Q14" i="16"/>
  <c r="T14" i="16"/>
  <c r="N15" i="16"/>
  <c r="Q15" i="16"/>
  <c r="T15" i="16"/>
  <c r="N16" i="16"/>
  <c r="Q16" i="16"/>
  <c r="T16" i="16"/>
  <c r="K20" i="16"/>
  <c r="N17" i="16"/>
  <c r="Q17" i="16"/>
  <c r="T17" i="16"/>
  <c r="K17" i="16"/>
  <c r="K15" i="16"/>
  <c r="K16" i="16"/>
  <c r="K18" i="16"/>
  <c r="K19" i="16"/>
  <c r="K14" i="16"/>
  <c r="H15" i="16"/>
  <c r="H16" i="16"/>
  <c r="H17" i="16"/>
  <c r="H18" i="16"/>
  <c r="H19" i="16"/>
  <c r="H20" i="16"/>
  <c r="H21" i="16"/>
  <c r="H22" i="16"/>
  <c r="H23" i="16"/>
  <c r="H24" i="16"/>
  <c r="H14" i="16"/>
  <c r="J19" i="17"/>
  <c r="J18" i="17"/>
  <c r="M66" i="17"/>
  <c r="J66" i="17" s="1"/>
  <c r="H66" i="17" s="1"/>
  <c r="D68" i="17"/>
  <c r="D67" i="17"/>
  <c r="J65" i="17"/>
  <c r="H65" i="17"/>
  <c r="M55" i="17"/>
  <c r="J55" i="17" s="1"/>
  <c r="H55" i="17" s="1"/>
  <c r="J54" i="17"/>
  <c r="H54" i="17"/>
  <c r="D57" i="17"/>
  <c r="D56" i="17"/>
  <c r="B21" i="19"/>
  <c r="B22" i="19"/>
  <c r="B20" i="19"/>
  <c r="B14" i="19"/>
  <c r="B15" i="19"/>
  <c r="B13" i="19"/>
  <c r="H27" i="17"/>
  <c r="J27" i="17"/>
  <c r="B4" i="18"/>
  <c r="B3" i="18"/>
  <c r="D5" i="17"/>
  <c r="D4" i="17"/>
  <c r="D6" i="16"/>
  <c r="D5" i="16"/>
  <c r="B2" i="18"/>
  <c r="D3" i="17"/>
  <c r="D4" i="16"/>
  <c r="D3" i="20"/>
  <c r="J23" i="20"/>
  <c r="J22" i="20"/>
  <c r="J24" i="20"/>
  <c r="H15" i="17"/>
  <c r="B5" i="18"/>
  <c r="C8" i="18"/>
  <c r="C98" i="18"/>
  <c r="C68" i="18"/>
  <c r="C38" i="18"/>
  <c r="C19" i="19"/>
  <c r="C22" i="19" s="1"/>
  <c r="C12" i="19"/>
  <c r="C15" i="19" s="1"/>
  <c r="P27" i="20"/>
  <c r="P37" i="20"/>
  <c r="P28" i="20"/>
  <c r="P38" i="20"/>
  <c r="P29" i="20"/>
  <c r="P39" i="20"/>
  <c r="E39" i="20"/>
  <c r="E40" i="20"/>
  <c r="D42" i="20"/>
  <c r="D43" i="20"/>
  <c r="D44" i="20"/>
  <c r="D45" i="20"/>
  <c r="E45" i="20"/>
  <c r="D46" i="20"/>
  <c r="E46" i="20"/>
  <c r="Q11" i="16"/>
  <c r="K11" i="16"/>
  <c r="J42" i="17"/>
  <c r="S37" i="17"/>
  <c r="M37" i="17"/>
  <c r="F54" i="17" s="1"/>
  <c r="S10" i="17"/>
  <c r="M10" i="17"/>
  <c r="L16" i="18"/>
  <c r="M16" i="18"/>
  <c r="P41" i="18"/>
  <c r="P42" i="18"/>
  <c r="L46" i="18"/>
  <c r="M46" i="18"/>
  <c r="P71" i="18"/>
  <c r="P72" i="18"/>
  <c r="L76" i="18"/>
  <c r="M76" i="18"/>
  <c r="O80" i="18"/>
  <c r="G86" i="18"/>
  <c r="P101" i="18"/>
  <c r="P102" i="18"/>
  <c r="L106" i="18"/>
  <c r="M106" i="18"/>
  <c r="H18" i="17"/>
  <c r="H19" i="17"/>
  <c r="D21" i="17"/>
  <c r="J21" i="17"/>
  <c r="D23" i="17"/>
  <c r="J23" i="17"/>
  <c r="J15" i="17"/>
  <c r="H16" i="17"/>
  <c r="J16" i="17"/>
  <c r="P16" i="17" s="1"/>
  <c r="H17" i="17"/>
  <c r="J17" i="17"/>
  <c r="J24" i="17"/>
  <c r="H28" i="17"/>
  <c r="J28" i="17"/>
  <c r="H29" i="17"/>
  <c r="J29" i="17"/>
  <c r="H41" i="17"/>
  <c r="H42" i="17"/>
  <c r="D14" i="16"/>
  <c r="D15" i="16"/>
  <c r="D16" i="16"/>
  <c r="D17" i="16"/>
  <c r="D18" i="16"/>
  <c r="D19" i="16"/>
  <c r="D20" i="16"/>
  <c r="D21" i="16"/>
  <c r="D22" i="16"/>
  <c r="Q23" i="16"/>
  <c r="K23" i="16"/>
  <c r="T23" i="16"/>
  <c r="N23" i="16"/>
  <c r="O91" i="18"/>
  <c r="O92" i="18"/>
  <c r="G93" i="18"/>
  <c r="G89" i="18"/>
  <c r="O87" i="18"/>
  <c r="O88" i="18"/>
  <c r="O93" i="18"/>
  <c r="G94" i="18"/>
  <c r="O90" i="18"/>
  <c r="G90" i="18"/>
  <c r="G91" i="18"/>
  <c r="G92" i="18"/>
  <c r="O89" i="18"/>
  <c r="O94" i="18"/>
  <c r="G87" i="18"/>
  <c r="G88" i="18"/>
  <c r="G112" i="18"/>
  <c r="O61" i="18"/>
  <c r="O62" i="18"/>
  <c r="G60" i="18"/>
  <c r="O29" i="18"/>
  <c r="O34" i="18"/>
  <c r="O64" i="18"/>
  <c r="G57" i="18"/>
  <c r="G58" i="18"/>
  <c r="O60" i="18"/>
  <c r="G59" i="18"/>
  <c r="G64" i="18"/>
  <c r="O27" i="18"/>
  <c r="O28" i="18"/>
  <c r="O33" i="18"/>
  <c r="O59" i="18"/>
  <c r="G63" i="18"/>
  <c r="O31" i="18"/>
  <c r="O32" i="18"/>
  <c r="O57" i="18"/>
  <c r="O58" i="18"/>
  <c r="O63" i="18"/>
  <c r="G61" i="18"/>
  <c r="G62" i="18"/>
  <c r="O30" i="18"/>
  <c r="O114" i="18"/>
  <c r="G17" i="18"/>
  <c r="G30" i="18"/>
  <c r="G34" i="18"/>
  <c r="G32" i="18"/>
  <c r="G29" i="18"/>
  <c r="G27" i="18"/>
  <c r="G31" i="18"/>
  <c r="G28" i="18"/>
  <c r="G33" i="18"/>
  <c r="G116" i="18"/>
  <c r="O110" i="18"/>
  <c r="G108" i="18"/>
  <c r="O84" i="18"/>
  <c r="G82" i="18"/>
  <c r="G113" i="18"/>
  <c r="G109" i="18"/>
  <c r="O85" i="18"/>
  <c r="O81" i="18"/>
  <c r="O77" i="18"/>
  <c r="G53" i="18"/>
  <c r="G49" i="18"/>
  <c r="O25" i="18"/>
  <c r="G23" i="18"/>
  <c r="O17" i="18"/>
  <c r="O116" i="18"/>
  <c r="G114" i="18"/>
  <c r="O112" i="18"/>
  <c r="G110" i="18"/>
  <c r="O108" i="18"/>
  <c r="O86" i="18"/>
  <c r="G84" i="18"/>
  <c r="O82" i="18"/>
  <c r="G80" i="18"/>
  <c r="O78" i="18"/>
  <c r="O56" i="18"/>
  <c r="G54" i="18"/>
  <c r="O52" i="18"/>
  <c r="G50" i="18"/>
  <c r="O48" i="18"/>
  <c r="O26" i="18"/>
  <c r="G24" i="18"/>
  <c r="O22" i="18"/>
  <c r="G20" i="18"/>
  <c r="O18" i="18"/>
  <c r="O15" i="18"/>
  <c r="G78" i="18"/>
  <c r="G56" i="18"/>
  <c r="O54" i="18"/>
  <c r="G52" i="18"/>
  <c r="O50" i="18"/>
  <c r="G48" i="18"/>
  <c r="G26" i="18"/>
  <c r="O24" i="18"/>
  <c r="G22" i="18"/>
  <c r="O20" i="18"/>
  <c r="G18" i="18"/>
  <c r="O115" i="18"/>
  <c r="O111" i="18"/>
  <c r="O107" i="18"/>
  <c r="G83" i="18"/>
  <c r="G79" i="18"/>
  <c r="O55" i="18"/>
  <c r="O51" i="18"/>
  <c r="O47" i="18"/>
  <c r="O21" i="18"/>
  <c r="G19" i="18"/>
  <c r="G115" i="18"/>
  <c r="O113" i="18"/>
  <c r="G111" i="18"/>
  <c r="O109" i="18"/>
  <c r="G107" i="18"/>
  <c r="G105" i="18"/>
  <c r="O105" i="18" s="1"/>
  <c r="G85" i="18"/>
  <c r="O83" i="18"/>
  <c r="G81" i="18"/>
  <c r="O79" i="18"/>
  <c r="G77" i="18"/>
  <c r="G75" i="18"/>
  <c r="O75" i="18" s="1"/>
  <c r="G55" i="18"/>
  <c r="O53" i="18"/>
  <c r="G51" i="18"/>
  <c r="O49" i="18"/>
  <c r="G47" i="18"/>
  <c r="G45" i="18"/>
  <c r="O45" i="18" s="1"/>
  <c r="G25" i="18"/>
  <c r="O23" i="18"/>
  <c r="G21" i="18"/>
  <c r="O19" i="18"/>
  <c r="P43" i="20"/>
  <c r="M29" i="17" l="1"/>
  <c r="V29" i="17" s="1"/>
  <c r="C14" i="19"/>
  <c r="C13" i="19"/>
  <c r="H21" i="17" s="1"/>
  <c r="M21" i="17" s="1"/>
  <c r="O124" i="18"/>
  <c r="F65" i="17"/>
  <c r="O121" i="18"/>
  <c r="G120" i="18"/>
  <c r="P18" i="17"/>
  <c r="M16" i="17"/>
  <c r="O122" i="18"/>
  <c r="G119" i="18"/>
  <c r="C21" i="19"/>
  <c r="P55" i="17"/>
  <c r="S55" i="17" s="1"/>
  <c r="C20" i="19"/>
  <c r="H23" i="17" s="1"/>
  <c r="M28" i="17"/>
  <c r="S28" i="17" s="1"/>
  <c r="V16" i="17"/>
  <c r="M27" i="17"/>
  <c r="K25" i="16"/>
  <c r="Q25" i="16"/>
  <c r="C76" i="18" s="1"/>
  <c r="O123" i="18"/>
  <c r="P66" i="17"/>
  <c r="S66" i="17" s="1"/>
  <c r="M18" i="17"/>
  <c r="P29" i="17"/>
  <c r="V27" i="17"/>
  <c r="P27" i="17"/>
  <c r="G121" i="18"/>
  <c r="G122" i="18"/>
  <c r="G124" i="18"/>
  <c r="G123" i="18"/>
  <c r="V15" i="17"/>
  <c r="O118" i="18"/>
  <c r="O120" i="18"/>
  <c r="O119" i="18"/>
  <c r="M23" i="17"/>
  <c r="T25" i="16"/>
  <c r="T26" i="16" s="1"/>
  <c r="P21" i="17"/>
  <c r="P23" i="17"/>
  <c r="S16" i="17"/>
  <c r="S27" i="17"/>
  <c r="S29" i="17"/>
  <c r="S30" i="17" s="1"/>
  <c r="K26" i="16"/>
  <c r="C16" i="18"/>
  <c r="N25" i="16"/>
  <c r="F70" i="17"/>
  <c r="F68" i="17"/>
  <c r="F58" i="17"/>
  <c r="M42" i="17"/>
  <c r="M19" i="17"/>
  <c r="P19" i="17"/>
  <c r="S41" i="17"/>
  <c r="S43" i="17" s="1"/>
  <c r="V41" i="17"/>
  <c r="V43" i="17" s="1"/>
  <c r="S17" i="17"/>
  <c r="P17" i="17"/>
  <c r="M17" i="17"/>
  <c r="V17" i="17"/>
  <c r="M15" i="17"/>
  <c r="P15" i="17"/>
  <c r="S15" i="17"/>
  <c r="C106" i="18" l="1"/>
  <c r="Q26" i="16"/>
  <c r="V28" i="17"/>
  <c r="V30" i="17" s="1"/>
  <c r="P28" i="17"/>
  <c r="P30" i="17" s="1"/>
  <c r="M30" i="17"/>
  <c r="F71" i="17"/>
  <c r="D111" i="18"/>
  <c r="D119" i="18"/>
  <c r="D123" i="18"/>
  <c r="D107" i="18"/>
  <c r="D108" i="18"/>
  <c r="D124" i="18"/>
  <c r="D120" i="18"/>
  <c r="D112" i="18"/>
  <c r="D110" i="18"/>
  <c r="D116" i="18"/>
  <c r="D117" i="18"/>
  <c r="D121" i="18"/>
  <c r="D113" i="18"/>
  <c r="D122" i="18"/>
  <c r="D115" i="18"/>
  <c r="D114" i="18"/>
  <c r="D109" i="18"/>
  <c r="D118" i="18"/>
  <c r="M43" i="17"/>
  <c r="P42" i="17"/>
  <c r="P43" i="17" s="1"/>
  <c r="C46" i="18"/>
  <c r="N26" i="16"/>
  <c r="H24" i="17"/>
  <c r="M24" i="17" s="1"/>
  <c r="M25" i="17" s="1"/>
  <c r="M31" i="17" s="1"/>
  <c r="D87" i="18"/>
  <c r="D92" i="18"/>
  <c r="D88" i="18"/>
  <c r="D93" i="18"/>
  <c r="D82" i="18"/>
  <c r="D83" i="18"/>
  <c r="D78" i="18"/>
  <c r="D84" i="18"/>
  <c r="D77" i="18"/>
  <c r="D86" i="18"/>
  <c r="D91" i="18"/>
  <c r="D94" i="18"/>
  <c r="D89" i="18"/>
  <c r="D90" i="18"/>
  <c r="D80" i="18"/>
  <c r="D79" i="18"/>
  <c r="D81" i="18"/>
  <c r="D85" i="18"/>
  <c r="F76" i="18"/>
  <c r="H76" i="18" s="1"/>
  <c r="K76" i="18"/>
  <c r="N76" i="18" s="1"/>
  <c r="P76" i="18" s="1"/>
  <c r="F57" i="17"/>
  <c r="F59" i="17"/>
  <c r="K16" i="18"/>
  <c r="N16" i="18" s="1"/>
  <c r="P16" i="18" s="1"/>
  <c r="F16" i="18"/>
  <c r="H16" i="18" s="1"/>
  <c r="F106" i="18"/>
  <c r="H106" i="18" s="1"/>
  <c r="K106" i="18"/>
  <c r="N106" i="18" s="1"/>
  <c r="P106" i="18" s="1"/>
  <c r="F67" i="17"/>
  <c r="E34" i="18" l="1"/>
  <c r="M34" i="18" s="1"/>
  <c r="E31" i="18"/>
  <c r="M31" i="18" s="1"/>
  <c r="E25" i="18"/>
  <c r="M25" i="18" s="1"/>
  <c r="E22" i="18"/>
  <c r="M22" i="18" s="1"/>
  <c r="E17" i="18"/>
  <c r="M17" i="18" s="1"/>
  <c r="E28" i="18"/>
  <c r="M28" i="18" s="1"/>
  <c r="E32" i="18"/>
  <c r="M32" i="18" s="1"/>
  <c r="E18" i="18"/>
  <c r="M18" i="18" s="1"/>
  <c r="E19" i="18"/>
  <c r="M19" i="18" s="1"/>
  <c r="E29" i="18"/>
  <c r="M29" i="18" s="1"/>
  <c r="E33" i="18"/>
  <c r="M33" i="18" s="1"/>
  <c r="E21" i="18"/>
  <c r="M21" i="18" s="1"/>
  <c r="E20" i="18"/>
  <c r="M20" i="18" s="1"/>
  <c r="E27" i="18"/>
  <c r="M27" i="18" s="1"/>
  <c r="E30" i="18"/>
  <c r="M30" i="18" s="1"/>
  <c r="E23" i="18"/>
  <c r="M23" i="18" s="1"/>
  <c r="E24" i="18"/>
  <c r="M24" i="18" s="1"/>
  <c r="E26" i="18"/>
  <c r="M26" i="18" s="1"/>
  <c r="H58" i="17"/>
  <c r="S58" i="17"/>
  <c r="M58" i="17"/>
  <c r="P58" i="17"/>
  <c r="J58" i="17"/>
  <c r="L85" i="18"/>
  <c r="L90" i="18"/>
  <c r="L83" i="18"/>
  <c r="L114" i="18"/>
  <c r="L121" i="18"/>
  <c r="L112" i="18"/>
  <c r="L108" i="18"/>
  <c r="M57" i="17"/>
  <c r="J57" i="17"/>
  <c r="P57" i="17"/>
  <c r="F56" i="17"/>
  <c r="H57" i="17"/>
  <c r="S57" i="17"/>
  <c r="L81" i="18"/>
  <c r="L89" i="18"/>
  <c r="L77" i="18"/>
  <c r="L82" i="18"/>
  <c r="L92" i="18"/>
  <c r="D32" i="18"/>
  <c r="D25" i="18"/>
  <c r="D17" i="18"/>
  <c r="D30" i="18"/>
  <c r="D23" i="18"/>
  <c r="D18" i="18"/>
  <c r="M44" i="17"/>
  <c r="M45" i="17" s="1"/>
  <c r="D19" i="18"/>
  <c r="D34" i="18"/>
  <c r="D22" i="18"/>
  <c r="D24" i="18"/>
  <c r="D29" i="18"/>
  <c r="D31" i="18"/>
  <c r="D28" i="18"/>
  <c r="D26" i="18"/>
  <c r="D33" i="18"/>
  <c r="D21" i="18"/>
  <c r="D27" i="18"/>
  <c r="D20" i="18"/>
  <c r="L115" i="18"/>
  <c r="L117" i="18"/>
  <c r="L120" i="18"/>
  <c r="L107" i="18"/>
  <c r="F60" i="17"/>
  <c r="M59" i="17"/>
  <c r="P59" i="17"/>
  <c r="J59" i="17"/>
  <c r="S59" i="17"/>
  <c r="H59" i="17"/>
  <c r="L86" i="18"/>
  <c r="L88" i="18"/>
  <c r="D58" i="18"/>
  <c r="D49" i="18"/>
  <c r="D47" i="18"/>
  <c r="D59" i="18"/>
  <c r="D50" i="18"/>
  <c r="D57" i="18"/>
  <c r="D54" i="18"/>
  <c r="D62" i="18"/>
  <c r="D51" i="18"/>
  <c r="D60" i="18"/>
  <c r="D53" i="18"/>
  <c r="D64" i="18"/>
  <c r="D52" i="18"/>
  <c r="D55" i="18"/>
  <c r="D63" i="18"/>
  <c r="D48" i="18"/>
  <c r="D61" i="18"/>
  <c r="D56" i="18"/>
  <c r="L111" i="18"/>
  <c r="L79" i="18"/>
  <c r="L94" i="18"/>
  <c r="L84" i="18"/>
  <c r="L87" i="18"/>
  <c r="L118" i="18"/>
  <c r="L122" i="18"/>
  <c r="L116" i="18"/>
  <c r="L124" i="18"/>
  <c r="L123" i="18"/>
  <c r="L80" i="18"/>
  <c r="L91" i="18"/>
  <c r="L78" i="18"/>
  <c r="L93" i="18"/>
  <c r="V24" i="17"/>
  <c r="V25" i="17" s="1"/>
  <c r="V31" i="17" s="1"/>
  <c r="P24" i="17"/>
  <c r="P25" i="17" s="1"/>
  <c r="P31" i="17" s="1"/>
  <c r="P44" i="17" s="1"/>
  <c r="P45" i="17" s="1"/>
  <c r="S24" i="17"/>
  <c r="S25" i="17" s="1"/>
  <c r="S31" i="17" s="1"/>
  <c r="P71" i="17" s="1"/>
  <c r="F46" i="18"/>
  <c r="H46" i="18" s="1"/>
  <c r="K46" i="18"/>
  <c r="N46" i="18" s="1"/>
  <c r="P46" i="18" s="1"/>
  <c r="L109" i="18"/>
  <c r="L113" i="18"/>
  <c r="L110" i="18"/>
  <c r="L119" i="18"/>
  <c r="H71" i="17" l="1"/>
  <c r="J67" i="17"/>
  <c r="L62" i="18"/>
  <c r="F34" i="18"/>
  <c r="H34" i="18" s="1"/>
  <c r="L34" i="18"/>
  <c r="N34" i="18" s="1"/>
  <c r="P34" i="18" s="1"/>
  <c r="M67" i="17"/>
  <c r="L56" i="18"/>
  <c r="L55" i="18"/>
  <c r="L53" i="18"/>
  <c r="L54" i="18"/>
  <c r="L47" i="18"/>
  <c r="P60" i="17"/>
  <c r="J60" i="17"/>
  <c r="M60" i="17"/>
  <c r="S60" i="17"/>
  <c r="H60" i="17"/>
  <c r="L33" i="18"/>
  <c r="N33" i="18" s="1"/>
  <c r="P33" i="18" s="1"/>
  <c r="F33" i="18"/>
  <c r="H33" i="18" s="1"/>
  <c r="F29" i="18"/>
  <c r="H29" i="18" s="1"/>
  <c r="L29" i="18"/>
  <c r="N29" i="18" s="1"/>
  <c r="P29" i="18" s="1"/>
  <c r="F19" i="18"/>
  <c r="H19" i="18" s="1"/>
  <c r="L19" i="18"/>
  <c r="N19" i="18" s="1"/>
  <c r="P19" i="18" s="1"/>
  <c r="F30" i="18"/>
  <c r="H30" i="18" s="1"/>
  <c r="L30" i="18"/>
  <c r="N30" i="18" s="1"/>
  <c r="P30" i="18" s="1"/>
  <c r="J56" i="17"/>
  <c r="M56" i="17"/>
  <c r="S56" i="17"/>
  <c r="P56" i="17"/>
  <c r="H56" i="17"/>
  <c r="E120" i="18"/>
  <c r="E123" i="18"/>
  <c r="E117" i="18"/>
  <c r="E124" i="18"/>
  <c r="E122" i="18"/>
  <c r="E116" i="18"/>
  <c r="E114" i="18"/>
  <c r="E112" i="18"/>
  <c r="E118" i="18"/>
  <c r="E119" i="18"/>
  <c r="E121" i="18"/>
  <c r="E110" i="18"/>
  <c r="E113" i="18"/>
  <c r="E111" i="18"/>
  <c r="E107" i="18"/>
  <c r="E115" i="18"/>
  <c r="E109" i="18"/>
  <c r="E108" i="18"/>
  <c r="V44" i="17"/>
  <c r="V45" i="17" s="1"/>
  <c r="L63" i="18"/>
  <c r="L59" i="18"/>
  <c r="L21" i="18"/>
  <c r="N21" i="18" s="1"/>
  <c r="P21" i="18" s="1"/>
  <c r="F21" i="18"/>
  <c r="H21" i="18" s="1"/>
  <c r="L23" i="18"/>
  <c r="N23" i="18" s="1"/>
  <c r="P23" i="18" s="1"/>
  <c r="F23" i="18"/>
  <c r="H23" i="18" s="1"/>
  <c r="F32" i="18"/>
  <c r="H32" i="18" s="1"/>
  <c r="L32" i="18"/>
  <c r="N32" i="18" s="1"/>
  <c r="P32" i="18" s="1"/>
  <c r="E89" i="18"/>
  <c r="E93" i="18"/>
  <c r="E86" i="18"/>
  <c r="E79" i="18"/>
  <c r="E90" i="18"/>
  <c r="E94" i="18"/>
  <c r="E84" i="18"/>
  <c r="E87" i="18"/>
  <c r="E91" i="18"/>
  <c r="E78" i="18"/>
  <c r="E80" i="18"/>
  <c r="E83" i="18"/>
  <c r="E88" i="18"/>
  <c r="E82" i="18"/>
  <c r="E81" i="18"/>
  <c r="E92" i="18"/>
  <c r="E77" i="18"/>
  <c r="E85" i="18"/>
  <c r="P69" i="17"/>
  <c r="S69" i="17"/>
  <c r="M69" i="17"/>
  <c r="H69" i="17"/>
  <c r="J69" i="17"/>
  <c r="J70" i="17"/>
  <c r="S68" i="17"/>
  <c r="J68" i="17"/>
  <c r="S70" i="17"/>
  <c r="M70" i="17"/>
  <c r="S44" i="17"/>
  <c r="S45" i="17" s="1"/>
  <c r="H68" i="17"/>
  <c r="H70" i="17"/>
  <c r="P70" i="17"/>
  <c r="P68" i="17"/>
  <c r="M68" i="17"/>
  <c r="P67" i="17"/>
  <c r="H67" i="17"/>
  <c r="L61" i="18"/>
  <c r="L52" i="18"/>
  <c r="L60" i="18"/>
  <c r="L57" i="18"/>
  <c r="L49" i="18"/>
  <c r="F20" i="18"/>
  <c r="H20" i="18" s="1"/>
  <c r="L20" i="18"/>
  <c r="N20" i="18" s="1"/>
  <c r="P20" i="18" s="1"/>
  <c r="L26" i="18"/>
  <c r="N26" i="18" s="1"/>
  <c r="P26" i="18" s="1"/>
  <c r="F26" i="18"/>
  <c r="H26" i="18" s="1"/>
  <c r="L24" i="18"/>
  <c r="N24" i="18" s="1"/>
  <c r="P24" i="18" s="1"/>
  <c r="F24" i="18"/>
  <c r="H24" i="18" s="1"/>
  <c r="F17" i="18"/>
  <c r="H17" i="18" s="1"/>
  <c r="L17" i="18"/>
  <c r="N17" i="18" s="1"/>
  <c r="P17" i="18" s="1"/>
  <c r="J71" i="17"/>
  <c r="M71" i="17"/>
  <c r="L31" i="18"/>
  <c r="N31" i="18" s="1"/>
  <c r="P31" i="18" s="1"/>
  <c r="F31" i="18"/>
  <c r="H31" i="18" s="1"/>
  <c r="E59" i="18"/>
  <c r="M59" i="18" s="1"/>
  <c r="E57" i="18"/>
  <c r="M57" i="18" s="1"/>
  <c r="E55" i="18"/>
  <c r="M55" i="18" s="1"/>
  <c r="E64" i="18"/>
  <c r="M64" i="18" s="1"/>
  <c r="E62" i="18"/>
  <c r="M62" i="18" s="1"/>
  <c r="E61" i="18"/>
  <c r="M61" i="18" s="1"/>
  <c r="E63" i="18"/>
  <c r="M63" i="18" s="1"/>
  <c r="E60" i="18"/>
  <c r="M60" i="18" s="1"/>
  <c r="E48" i="18"/>
  <c r="M48" i="18" s="1"/>
  <c r="E52" i="18"/>
  <c r="M52" i="18" s="1"/>
  <c r="E53" i="18"/>
  <c r="M53" i="18" s="1"/>
  <c r="E51" i="18"/>
  <c r="M51" i="18" s="1"/>
  <c r="E47" i="18"/>
  <c r="M47" i="18" s="1"/>
  <c r="E54" i="18"/>
  <c r="M54" i="18" s="1"/>
  <c r="E58" i="18"/>
  <c r="M58" i="18" s="1"/>
  <c r="E50" i="18"/>
  <c r="M50" i="18" s="1"/>
  <c r="E56" i="18"/>
  <c r="M56" i="18" s="1"/>
  <c r="E49" i="18"/>
  <c r="M49" i="18" s="1"/>
  <c r="S67" i="17"/>
  <c r="L48" i="18"/>
  <c r="N48" i="18" s="1"/>
  <c r="P48" i="18" s="1"/>
  <c r="L64" i="18"/>
  <c r="L51" i="18"/>
  <c r="L50" i="18"/>
  <c r="L58" i="18"/>
  <c r="F27" i="18"/>
  <c r="H27" i="18" s="1"/>
  <c r="L27" i="18"/>
  <c r="N27" i="18" s="1"/>
  <c r="P27" i="18" s="1"/>
  <c r="L28" i="18"/>
  <c r="N28" i="18" s="1"/>
  <c r="P28" i="18" s="1"/>
  <c r="F28" i="18"/>
  <c r="H28" i="18" s="1"/>
  <c r="F22" i="18"/>
  <c r="H22" i="18" s="1"/>
  <c r="L22" i="18"/>
  <c r="N22" i="18" s="1"/>
  <c r="P22" i="18" s="1"/>
  <c r="L18" i="18"/>
  <c r="N18" i="18" s="1"/>
  <c r="P18" i="18" s="1"/>
  <c r="F18" i="18"/>
  <c r="H18" i="18" s="1"/>
  <c r="F25" i="18"/>
  <c r="H25" i="18" s="1"/>
  <c r="L25" i="18"/>
  <c r="N25" i="18" s="1"/>
  <c r="P25" i="18" s="1"/>
  <c r="S71" i="17"/>
  <c r="N58" i="18" l="1"/>
  <c r="P58" i="18" s="1"/>
  <c r="F48" i="18"/>
  <c r="H48" i="18" s="1"/>
  <c r="F58" i="18"/>
  <c r="H58" i="18" s="1"/>
  <c r="F63" i="18"/>
  <c r="H63" i="18" s="1"/>
  <c r="F50" i="18"/>
  <c r="H50" i="18" s="1"/>
  <c r="F64" i="18"/>
  <c r="H64" i="18" s="1"/>
  <c r="H35" i="18"/>
  <c r="M47" i="17" s="1"/>
  <c r="N56" i="18"/>
  <c r="P56" i="18" s="1"/>
  <c r="N62" i="18"/>
  <c r="P62" i="18" s="1"/>
  <c r="N50" i="18"/>
  <c r="P50" i="18" s="1"/>
  <c r="N60" i="18"/>
  <c r="P60" i="18" s="1"/>
  <c r="F53" i="18"/>
  <c r="H53" i="18" s="1"/>
  <c r="N64" i="18"/>
  <c r="P64" i="18" s="1"/>
  <c r="F51" i="18"/>
  <c r="H51" i="18" s="1"/>
  <c r="F47" i="18"/>
  <c r="H47" i="18" s="1"/>
  <c r="M81" i="18"/>
  <c r="N81" i="18" s="1"/>
  <c r="P81" i="18" s="1"/>
  <c r="F81" i="18"/>
  <c r="H81" i="18" s="1"/>
  <c r="M121" i="18"/>
  <c r="N121" i="18" s="1"/>
  <c r="P121" i="18" s="1"/>
  <c r="F121" i="18"/>
  <c r="H121" i="18" s="1"/>
  <c r="M117" i="18"/>
  <c r="N117" i="18" s="1"/>
  <c r="P117" i="18" s="1"/>
  <c r="F117" i="18"/>
  <c r="H117" i="18" s="1"/>
  <c r="N51" i="18"/>
  <c r="P51" i="18" s="1"/>
  <c r="N49" i="18"/>
  <c r="P49" i="18" s="1"/>
  <c r="F60" i="18"/>
  <c r="H60" i="18" s="1"/>
  <c r="F61" i="18"/>
  <c r="H61" i="18" s="1"/>
  <c r="M85" i="18"/>
  <c r="N85" i="18" s="1"/>
  <c r="P85" i="18" s="1"/>
  <c r="F85" i="18"/>
  <c r="H85" i="18" s="1"/>
  <c r="M82" i="18"/>
  <c r="N82" i="18" s="1"/>
  <c r="P82" i="18" s="1"/>
  <c r="F82" i="18"/>
  <c r="H82" i="18" s="1"/>
  <c r="M78" i="18"/>
  <c r="N78" i="18" s="1"/>
  <c r="P78" i="18" s="1"/>
  <c r="F78" i="18"/>
  <c r="H78" i="18" s="1"/>
  <c r="M94" i="18"/>
  <c r="N94" i="18" s="1"/>
  <c r="P94" i="18" s="1"/>
  <c r="F94" i="18"/>
  <c r="H94" i="18" s="1"/>
  <c r="M93" i="18"/>
  <c r="N93" i="18" s="1"/>
  <c r="P93" i="18" s="1"/>
  <c r="F93" i="18"/>
  <c r="H93" i="18" s="1"/>
  <c r="N63" i="18"/>
  <c r="P63" i="18" s="1"/>
  <c r="M108" i="18"/>
  <c r="N108" i="18" s="1"/>
  <c r="P108" i="18" s="1"/>
  <c r="F108" i="18"/>
  <c r="H108" i="18" s="1"/>
  <c r="M111" i="18"/>
  <c r="N111" i="18" s="1"/>
  <c r="P111" i="18" s="1"/>
  <c r="F111" i="18"/>
  <c r="H111" i="18" s="1"/>
  <c r="M119" i="18"/>
  <c r="N119" i="18" s="1"/>
  <c r="P119" i="18" s="1"/>
  <c r="F119" i="18"/>
  <c r="H119" i="18" s="1"/>
  <c r="M116" i="18"/>
  <c r="N116" i="18" s="1"/>
  <c r="P116" i="18" s="1"/>
  <c r="F116" i="18"/>
  <c r="H116" i="18" s="1"/>
  <c r="M123" i="18"/>
  <c r="N123" i="18" s="1"/>
  <c r="P123" i="18" s="1"/>
  <c r="F123" i="18"/>
  <c r="H123" i="18" s="1"/>
  <c r="N47" i="18"/>
  <c r="P47" i="18" s="1"/>
  <c r="N53" i="18"/>
  <c r="P53" i="18" s="1"/>
  <c r="F56" i="18"/>
  <c r="H56" i="18" s="1"/>
  <c r="F62" i="18"/>
  <c r="H62" i="18" s="1"/>
  <c r="F49" i="18"/>
  <c r="H49" i="18" s="1"/>
  <c r="N61" i="18"/>
  <c r="P61" i="18" s="1"/>
  <c r="M80" i="18"/>
  <c r="N80" i="18" s="1"/>
  <c r="P80" i="18" s="1"/>
  <c r="F80" i="18"/>
  <c r="H80" i="18" s="1"/>
  <c r="M84" i="18"/>
  <c r="N84" i="18" s="1"/>
  <c r="P84" i="18" s="1"/>
  <c r="F84" i="18"/>
  <c r="H84" i="18" s="1"/>
  <c r="M86" i="18"/>
  <c r="N86" i="18" s="1"/>
  <c r="P86" i="18" s="1"/>
  <c r="F86" i="18"/>
  <c r="H86" i="18" s="1"/>
  <c r="M107" i="18"/>
  <c r="N107" i="18" s="1"/>
  <c r="P107" i="18" s="1"/>
  <c r="F107" i="18"/>
  <c r="H107" i="18" s="1"/>
  <c r="M114" i="18"/>
  <c r="N114" i="18" s="1"/>
  <c r="P114" i="18" s="1"/>
  <c r="F114" i="18"/>
  <c r="H114" i="18" s="1"/>
  <c r="F57" i="18"/>
  <c r="H57" i="18" s="1"/>
  <c r="N52" i="18"/>
  <c r="P52" i="18" s="1"/>
  <c r="M77" i="18"/>
  <c r="N77" i="18" s="1"/>
  <c r="P77" i="18" s="1"/>
  <c r="F77" i="18"/>
  <c r="H77" i="18" s="1"/>
  <c r="M88" i="18"/>
  <c r="N88" i="18" s="1"/>
  <c r="P88" i="18" s="1"/>
  <c r="F88" i="18"/>
  <c r="H88" i="18" s="1"/>
  <c r="M91" i="18"/>
  <c r="N91" i="18" s="1"/>
  <c r="P91" i="18" s="1"/>
  <c r="F91" i="18"/>
  <c r="H91" i="18" s="1"/>
  <c r="M90" i="18"/>
  <c r="N90" i="18" s="1"/>
  <c r="P90" i="18" s="1"/>
  <c r="F90" i="18"/>
  <c r="H90" i="18" s="1"/>
  <c r="M89" i="18"/>
  <c r="N89" i="18" s="1"/>
  <c r="P89" i="18" s="1"/>
  <c r="F89" i="18"/>
  <c r="H89" i="18" s="1"/>
  <c r="F59" i="18"/>
  <c r="H59" i="18" s="1"/>
  <c r="M109" i="18"/>
  <c r="N109" i="18" s="1"/>
  <c r="P109" i="18" s="1"/>
  <c r="F109" i="18"/>
  <c r="H109" i="18" s="1"/>
  <c r="M113" i="18"/>
  <c r="N113" i="18" s="1"/>
  <c r="P113" i="18" s="1"/>
  <c r="F113" i="18"/>
  <c r="H113" i="18" s="1"/>
  <c r="M118" i="18"/>
  <c r="N118" i="18" s="1"/>
  <c r="P118" i="18" s="1"/>
  <c r="F118" i="18"/>
  <c r="H118" i="18" s="1"/>
  <c r="M122" i="18"/>
  <c r="N122" i="18" s="1"/>
  <c r="P122" i="18" s="1"/>
  <c r="F122" i="18"/>
  <c r="H122" i="18" s="1"/>
  <c r="M120" i="18"/>
  <c r="N120" i="18" s="1"/>
  <c r="P120" i="18" s="1"/>
  <c r="F120" i="18"/>
  <c r="H120" i="18" s="1"/>
  <c r="N54" i="18"/>
  <c r="P54" i="18" s="1"/>
  <c r="N55" i="18"/>
  <c r="P55" i="18" s="1"/>
  <c r="P35" i="18"/>
  <c r="N57" i="18"/>
  <c r="P57" i="18" s="1"/>
  <c r="F52" i="18"/>
  <c r="H52" i="18" s="1"/>
  <c r="M92" i="18"/>
  <c r="N92" i="18" s="1"/>
  <c r="P92" i="18" s="1"/>
  <c r="F92" i="18"/>
  <c r="H92" i="18" s="1"/>
  <c r="M83" i="18"/>
  <c r="N83" i="18" s="1"/>
  <c r="P83" i="18" s="1"/>
  <c r="F83" i="18"/>
  <c r="H83" i="18" s="1"/>
  <c r="M87" i="18"/>
  <c r="N87" i="18" s="1"/>
  <c r="P87" i="18" s="1"/>
  <c r="F87" i="18"/>
  <c r="H87" i="18" s="1"/>
  <c r="M79" i="18"/>
  <c r="N79" i="18" s="1"/>
  <c r="P79" i="18" s="1"/>
  <c r="F79" i="18"/>
  <c r="H79" i="18" s="1"/>
  <c r="N59" i="18"/>
  <c r="P59" i="18" s="1"/>
  <c r="M115" i="18"/>
  <c r="N115" i="18" s="1"/>
  <c r="P115" i="18" s="1"/>
  <c r="F115" i="18"/>
  <c r="H115" i="18" s="1"/>
  <c r="M110" i="18"/>
  <c r="N110" i="18" s="1"/>
  <c r="P110" i="18" s="1"/>
  <c r="F110" i="18"/>
  <c r="H110" i="18" s="1"/>
  <c r="M112" i="18"/>
  <c r="N112" i="18" s="1"/>
  <c r="P112" i="18" s="1"/>
  <c r="F112" i="18"/>
  <c r="H112" i="18" s="1"/>
  <c r="M124" i="18"/>
  <c r="N124" i="18" s="1"/>
  <c r="P124" i="18" s="1"/>
  <c r="F124" i="18"/>
  <c r="H124" i="18" s="1"/>
  <c r="F54" i="18"/>
  <c r="H54" i="18" s="1"/>
  <c r="F55" i="18"/>
  <c r="H55" i="18" s="1"/>
  <c r="H65" i="18" l="1"/>
  <c r="P47" i="17" s="1"/>
  <c r="H95" i="18"/>
  <c r="S47" i="17" s="1"/>
  <c r="P95" i="18"/>
  <c r="H125" i="18"/>
  <c r="V47" i="17" s="1"/>
  <c r="P125" i="18"/>
  <c r="P65" i="18"/>
</calcChain>
</file>

<file path=xl/comments1.xml><?xml version="1.0" encoding="utf-8"?>
<comments xmlns="http://schemas.openxmlformats.org/spreadsheetml/2006/main">
  <authors>
    <author>Jesse</author>
  </authors>
  <commentList>
    <comment ref="E8" authorId="0" shapeId="0">
      <text>
        <r>
          <rPr>
            <sz val="9"/>
            <color indexed="81"/>
            <rFont val="Tahoma"/>
            <family val="2"/>
          </rPr>
          <t>The number of cuttings is applied only to irrigated grass hay.</t>
        </r>
      </text>
    </comment>
    <comment ref="P21" authorId="0" shapeId="0">
      <text>
        <r>
          <rPr>
            <sz val="9"/>
            <color indexed="81"/>
            <rFont val="Tahoma"/>
            <family val="2"/>
          </rPr>
          <t>The amount of feed on a dry matter basis as a percent of body weight.</t>
        </r>
      </text>
    </comment>
    <comment ref="O22" authorId="0" shapeId="0">
      <text>
        <r>
          <rPr>
            <sz val="9"/>
            <color indexed="81"/>
            <rFont val="Tahoma"/>
            <family val="2"/>
          </rPr>
          <t xml:space="preserve">An AU (animal unit) is equal to a 1,000 lb. cow with calf at side. An AUM (Animal Unit Month) is the amount of forage needed to maintain a 1,000 lb. cow with calf at side for one month. AUE's (anmal unit equivilants) can be calculated for any species based on metobolic weight using the following equation. 
 "Animal Unit Equivalent (AUE)=〖(Live animal weight)〗^0.75/〖1000〗^0.75." </t>
        </r>
      </text>
    </comment>
    <comment ref="P22" authorId="0" shapeId="0">
      <text>
        <r>
          <rPr>
            <sz val="9"/>
            <color indexed="81"/>
            <rFont val="Tahoma"/>
            <family val="2"/>
          </rPr>
          <t>This figure is calculated: (1000 (animal weight, AUl) x Dry Matter inake) x 30 days</t>
        </r>
      </text>
    </comment>
    <comment ref="J23" authorId="0" shapeId="0">
      <text>
        <r>
          <rPr>
            <sz val="9"/>
            <color indexed="81"/>
            <rFont val="Tahoma"/>
            <family val="2"/>
          </rPr>
          <t>This price is the same as the price found in the Start-Up Costs under Star-Up Fertilizer.</t>
        </r>
      </text>
    </comment>
    <comment ref="O23" authorId="0" shapeId="0">
      <text>
        <r>
          <rPr>
            <sz val="9"/>
            <color indexed="81"/>
            <rFont val="Tahoma"/>
            <family val="2"/>
          </rPr>
          <t>The percentage of forage actually ingested by the animals from the total amount of forage available.</t>
        </r>
      </text>
    </comment>
    <comment ref="P23" authorId="0" shapeId="0">
      <text>
        <r>
          <rPr>
            <sz val="9"/>
            <color indexed="81"/>
            <rFont val="Tahoma"/>
            <family val="2"/>
          </rPr>
          <t>The percentage of forage actually ingested by the animals from the total amount of forage available.</t>
        </r>
      </text>
    </comment>
  </commentList>
</comments>
</file>

<file path=xl/comments2.xml><?xml version="1.0" encoding="utf-8"?>
<comments xmlns="http://schemas.openxmlformats.org/spreadsheetml/2006/main">
  <authors>
    <author>Jesse</author>
  </authors>
  <commentList>
    <comment ref="G15" authorId="0" shapeId="0">
      <text>
        <r>
          <rPr>
            <sz val="9"/>
            <color indexed="81"/>
            <rFont val="Tahoma"/>
            <family val="2"/>
          </rPr>
          <t>Please refer to the dicount rate on the input tab.</t>
        </r>
      </text>
    </comment>
  </commentList>
</comments>
</file>

<file path=xl/sharedStrings.xml><?xml version="1.0" encoding="utf-8"?>
<sst xmlns="http://schemas.openxmlformats.org/spreadsheetml/2006/main" count="398" uniqueCount="166">
  <si>
    <t>Assumptions:</t>
  </si>
  <si>
    <t>Cost</t>
  </si>
  <si>
    <t>Total Projected Start-Up Costs</t>
  </si>
  <si>
    <t xml:space="preserve">Discount </t>
  </si>
  <si>
    <t>Capital</t>
  </si>
  <si>
    <t>Cash</t>
  </si>
  <si>
    <t>Production</t>
  </si>
  <si>
    <t>Net</t>
  </si>
  <si>
    <t>Factor</t>
  </si>
  <si>
    <t>Net Present</t>
  </si>
  <si>
    <t>Year</t>
  </si>
  <si>
    <t>Expenses</t>
  </si>
  <si>
    <t>Inflows</t>
  </si>
  <si>
    <t>Cash Flow</t>
  </si>
  <si>
    <t>Value</t>
  </si>
  <si>
    <t>Net Present Value</t>
  </si>
  <si>
    <t>Net Present Value Analysis</t>
  </si>
  <si>
    <t>Sensitive Analysis</t>
  </si>
  <si>
    <t>Percent of Expected Income</t>
  </si>
  <si>
    <t>Percent of Expected Expenses</t>
  </si>
  <si>
    <t>Unit</t>
  </si>
  <si>
    <t>Number</t>
  </si>
  <si>
    <t xml:space="preserve">Total </t>
  </si>
  <si>
    <t>Units</t>
  </si>
  <si>
    <t>of Units</t>
  </si>
  <si>
    <t>Fertilizers</t>
  </si>
  <si>
    <t>Irrigation Expenses</t>
  </si>
  <si>
    <t>Item</t>
  </si>
  <si>
    <t>Hay (Forage Removal)</t>
  </si>
  <si>
    <t>Grazing (Forage Removal)</t>
  </si>
  <si>
    <t>Fertilizer</t>
  </si>
  <si>
    <t>Seed</t>
  </si>
  <si>
    <t>Baling</t>
  </si>
  <si>
    <t>Acres</t>
  </si>
  <si>
    <t>Swathing</t>
  </si>
  <si>
    <t>Raking</t>
  </si>
  <si>
    <t>Fertilizer Application</t>
  </si>
  <si>
    <t>Irrigated</t>
  </si>
  <si>
    <t>Broad Cast</t>
  </si>
  <si>
    <t>Drilled</t>
  </si>
  <si>
    <t>Farm Overhead</t>
  </si>
  <si>
    <t>Real Estate Taxes</t>
  </si>
  <si>
    <t>Operating Interest Expense</t>
  </si>
  <si>
    <t>Grass Hay</t>
  </si>
  <si>
    <t>AUM</t>
  </si>
  <si>
    <t>Pasture</t>
  </si>
  <si>
    <t>Tons</t>
  </si>
  <si>
    <t xml:space="preserve">Dry Land </t>
  </si>
  <si>
    <t>AUM/Acre</t>
  </si>
  <si>
    <t>Total AUMs</t>
  </si>
  <si>
    <t>Dry Land</t>
  </si>
  <si>
    <t>Harvest Efficiency</t>
  </si>
  <si>
    <t>Projected Net Present Value</t>
  </si>
  <si>
    <t>Practice</t>
  </si>
  <si>
    <t>Unit Cost</t>
  </si>
  <si>
    <t>Projected Start-Up Costs</t>
  </si>
  <si>
    <t>$/acre to Drill</t>
  </si>
  <si>
    <t>$/acre to Broad Cast</t>
  </si>
  <si>
    <t>Irrigated Seed</t>
  </si>
  <si>
    <t>Dry Land Seed</t>
  </si>
  <si>
    <t>Drilling</t>
  </si>
  <si>
    <t>Chisel</t>
  </si>
  <si>
    <t>Disc</t>
  </si>
  <si>
    <t>Landplane</t>
  </si>
  <si>
    <t>Broadcasting</t>
  </si>
  <si>
    <t>Furrowing</t>
  </si>
  <si>
    <t>Cultivating-Bedding</t>
  </si>
  <si>
    <t>Roller Harrow</t>
  </si>
  <si>
    <t>Round Bale</t>
  </si>
  <si>
    <t>Small Square Bale</t>
  </si>
  <si>
    <t>Hauling</t>
  </si>
  <si>
    <t>Broadcast</t>
  </si>
  <si>
    <t>Cutting and Raking Costs</t>
  </si>
  <si>
    <t>Hay</t>
  </si>
  <si>
    <t>Select a bale type from</t>
  </si>
  <si>
    <t>the Drop Down List below.</t>
  </si>
  <si>
    <t>Revenue</t>
  </si>
  <si>
    <t>Estimated Annual Revenue</t>
  </si>
  <si>
    <t>lbs./acre to Drill</t>
  </si>
  <si>
    <t>lbs./acre to Broad Cast</t>
  </si>
  <si>
    <t>$/lb.</t>
  </si>
  <si>
    <t>Grass Hay &amp; Grass Pasture Budget Comparison &amp; Decision Tool</t>
  </si>
  <si>
    <t>Drill</t>
  </si>
  <si>
    <t xml:space="preserve">Drill </t>
  </si>
  <si>
    <t>Type:</t>
  </si>
  <si>
    <t>Product:</t>
  </si>
  <si>
    <t>Planting Method:</t>
  </si>
  <si>
    <t>Total Expenses</t>
  </si>
  <si>
    <t>Projected Net Returns</t>
  </si>
  <si>
    <t>Total Revenue</t>
  </si>
  <si>
    <t>Start-Up Costs</t>
  </si>
  <si>
    <t>From the Drop Down List Below</t>
  </si>
  <si>
    <t>Harvesting Costs</t>
  </si>
  <si>
    <t>Dry Matter Intake</t>
  </si>
  <si>
    <t>Property and Ownership Costs</t>
  </si>
  <si>
    <t>Ground Work</t>
  </si>
  <si>
    <t>($/Acre)</t>
  </si>
  <si>
    <r>
      <t>lbs./</t>
    </r>
    <r>
      <rPr>
        <b/>
        <sz val="11"/>
        <rFont val="Calibri"/>
        <family val="2"/>
        <scheme val="minor"/>
      </rPr>
      <t>N</t>
    </r>
    <r>
      <rPr>
        <sz val="11"/>
        <rFont val="Calibri"/>
        <family val="2"/>
        <scheme val="minor"/>
      </rPr>
      <t>/acre (nitrogen)</t>
    </r>
  </si>
  <si>
    <r>
      <t>lbs./</t>
    </r>
    <r>
      <rPr>
        <b/>
        <sz val="11"/>
        <rFont val="Calibri"/>
        <family val="2"/>
        <scheme val="minor"/>
      </rPr>
      <t>P</t>
    </r>
    <r>
      <rPr>
        <sz val="11"/>
        <rFont val="Calibri"/>
        <family val="2"/>
        <scheme val="minor"/>
      </rPr>
      <t>/acre (phosphorus)</t>
    </r>
  </si>
  <si>
    <r>
      <t>lbs./</t>
    </r>
    <r>
      <rPr>
        <b/>
        <sz val="11"/>
        <rFont val="Calibri"/>
        <family val="2"/>
        <scheme val="minor"/>
      </rPr>
      <t>K</t>
    </r>
    <r>
      <rPr>
        <sz val="11"/>
        <rFont val="Calibri"/>
        <family val="2"/>
        <scheme val="minor"/>
      </rPr>
      <t>/acre (potassium)</t>
    </r>
  </si>
  <si>
    <t>September 2015</t>
  </si>
  <si>
    <t>Grazing Factors</t>
  </si>
  <si>
    <t>Discount Rate</t>
  </si>
  <si>
    <t>Projected Start-Up Costs/Acre</t>
  </si>
  <si>
    <t>Total AUMs Available</t>
  </si>
  <si>
    <t>Operating and Harvest Expenses</t>
  </si>
  <si>
    <t>Total Operating and Harvest Expenses</t>
  </si>
  <si>
    <t>Total Property and Ownership Costs</t>
  </si>
  <si>
    <t>Estimated Expenses</t>
  </si>
  <si>
    <t>Expenses/Activities:</t>
  </si>
  <si>
    <t>Jesse Russell, Jeffrey E. Tranel, R. Brent Young, and Norman Dalsted - CSU Agricultural and Business Management Economists</t>
  </si>
  <si>
    <t>www.coopext.colostate.edu/ABM/</t>
  </si>
  <si>
    <t>Ownership Costs</t>
  </si>
  <si>
    <t>Other Operating Costs</t>
  </si>
  <si>
    <t>Alternative Yields</t>
  </si>
  <si>
    <t>Ton</t>
  </si>
  <si>
    <t>$/AUM</t>
  </si>
  <si>
    <t>$/Ton</t>
  </si>
  <si>
    <t>Alternative Net Returns</t>
  </si>
  <si>
    <t>Breakeven Analysis - Net Returns over Total Expenses</t>
  </si>
  <si>
    <t>+10%</t>
  </si>
  <si>
    <t>+25%</t>
  </si>
  <si>
    <t>Alternative Prices</t>
  </si>
  <si>
    <r>
      <rPr>
        <b/>
        <i/>
        <sz val="12"/>
        <rFont val="Calibri"/>
        <family val="2"/>
        <scheme val="minor"/>
      </rPr>
      <t>Step 1:</t>
    </r>
    <r>
      <rPr>
        <i/>
        <sz val="12"/>
        <rFont val="Calibri"/>
        <family val="2"/>
        <scheme val="minor"/>
      </rPr>
      <t xml:space="preserve"> Go to the "Input" page (see tabs at the bottom of each page). Enter your individual information into any cell that has a pale yellow background and blue colored font. You may also select specific data from the drop-down lists provided for any cell with a light blue background.</t>
    </r>
  </si>
  <si>
    <r>
      <rPr>
        <b/>
        <i/>
        <sz val="12"/>
        <rFont val="Calibri"/>
        <family val="2"/>
        <scheme val="minor"/>
      </rPr>
      <t>Step 2:</t>
    </r>
    <r>
      <rPr>
        <i/>
        <sz val="12"/>
        <rFont val="Calibri"/>
        <family val="2"/>
        <scheme val="minor"/>
      </rPr>
      <t xml:space="preserve"> Go to the "Start-Up Costs" page (see tabs at the bottom of each worksheet). This page show the total estimated start-up costs and the start-up costs on a peracre basis. </t>
    </r>
  </si>
  <si>
    <r>
      <rPr>
        <b/>
        <i/>
        <sz val="12"/>
        <rFont val="Calibri"/>
        <family val="2"/>
        <scheme val="minor"/>
      </rPr>
      <t>Step 3:</t>
    </r>
    <r>
      <rPr>
        <i/>
        <sz val="12"/>
        <rFont val="Calibri"/>
        <family val="2"/>
        <scheme val="minor"/>
      </rPr>
      <t xml:space="preserve"> Go to the "Enterprise Budget" page where you may view the details of the enterprise budget (Expenses, revenues, net returns and net present values). This page also contains a break even analysis for both a pasture operation and a hay operation. </t>
    </r>
  </si>
  <si>
    <t>This Decision Tool is designed to help land owners compare start-up costs operating budgets and net present values of their operations. This tool compares Hay operations to Pasture operations with different planting methods for both Irrigated and Dry Land Operations.</t>
  </si>
  <si>
    <t>The information produced by this Decision Tool should be considered as a guide only. It is for educational purposes only. There may be other individual data not taken into account in the calculations and results.</t>
  </si>
  <si>
    <r>
      <t xml:space="preserve">The authors of this Decision Tool include Jesse Russell, Jeffrey E. Tranel, R. Brent Young, and Norman L. Dalsted. All are Agricultural and Business Management Economists with </t>
    </r>
    <r>
      <rPr>
        <b/>
        <i/>
        <sz val="12"/>
        <rFont val="Calibri"/>
        <family val="2"/>
        <scheme val="minor"/>
      </rPr>
      <t>Colorado State University</t>
    </r>
    <r>
      <rPr>
        <i/>
        <sz val="12"/>
        <rFont val="Calibri"/>
        <family val="2"/>
        <scheme val="minor"/>
      </rPr>
      <t xml:space="preserve"> Extension and the Department of Agricultural and Resouce Economics. It can be downloaded at no cost at www.coopext.colostate.edu/ABM.</t>
    </r>
  </si>
  <si>
    <t>Operating Expenses, Prices &amp; Yields</t>
  </si>
  <si>
    <t>Total (lbs./Acre)</t>
  </si>
  <si>
    <t>Fertilizer Cost ($/acre)</t>
  </si>
  <si>
    <t xml:space="preserve">Grass Hay &amp; Grass Pasture </t>
  </si>
  <si>
    <t>Budget Comparison &amp; Decision Tool</t>
  </si>
  <si>
    <r>
      <t xml:space="preserve">Select </t>
    </r>
    <r>
      <rPr>
        <b/>
        <u/>
        <sz val="14"/>
        <color theme="1"/>
        <rFont val="Calibri"/>
        <family val="2"/>
        <scheme val="minor"/>
      </rPr>
      <t>Irrigated</t>
    </r>
    <r>
      <rPr>
        <b/>
        <sz val="14"/>
        <color theme="1"/>
        <rFont val="Calibri"/>
        <family val="2"/>
        <scheme val="minor"/>
      </rPr>
      <t xml:space="preserve"> or </t>
    </r>
    <r>
      <rPr>
        <b/>
        <u/>
        <sz val="14"/>
        <color theme="1"/>
        <rFont val="Calibri"/>
        <family val="2"/>
        <scheme val="minor"/>
      </rPr>
      <t>Dry Land</t>
    </r>
  </si>
  <si>
    <t>Round Bale (bales/acre)</t>
  </si>
  <si>
    <r>
      <t xml:space="preserve">Small Square Bale </t>
    </r>
    <r>
      <rPr>
        <sz val="9"/>
        <color theme="1"/>
        <rFont val="Calibri"/>
        <family val="2"/>
        <scheme val="minor"/>
      </rPr>
      <t>(bales/acre)</t>
    </r>
  </si>
  <si>
    <r>
      <t xml:space="preserve">Round Bale </t>
    </r>
    <r>
      <rPr>
        <sz val="9"/>
        <color theme="1"/>
        <rFont val="Calibri"/>
        <family val="2"/>
        <scheme val="minor"/>
      </rPr>
      <t>(bales/acre)</t>
    </r>
  </si>
  <si>
    <r>
      <t xml:space="preserve">Grazing Fees </t>
    </r>
    <r>
      <rPr>
        <sz val="9"/>
        <rFont val="Calibri"/>
        <family val="2"/>
        <scheme val="minor"/>
      </rPr>
      <t>($/AUM)</t>
    </r>
  </si>
  <si>
    <r>
      <t xml:space="preserve">Hay Price </t>
    </r>
    <r>
      <rPr>
        <b/>
        <sz val="9"/>
        <rFont val="Calibri"/>
        <family val="2"/>
        <scheme val="minor"/>
      </rPr>
      <t>($/Ton)</t>
    </r>
  </si>
  <si>
    <r>
      <t xml:space="preserve">lbs./Acre </t>
    </r>
    <r>
      <rPr>
        <sz val="9"/>
        <color theme="1"/>
        <rFont val="Calibri"/>
        <family val="2"/>
        <scheme val="minor"/>
      </rPr>
      <t>(Available)</t>
    </r>
  </si>
  <si>
    <r>
      <t xml:space="preserve">Irrigation Expenses </t>
    </r>
    <r>
      <rPr>
        <sz val="9"/>
        <rFont val="Calibri"/>
        <family val="2"/>
        <scheme val="minor"/>
      </rPr>
      <t>($/Acre)</t>
    </r>
  </si>
  <si>
    <r>
      <t xml:space="preserve">Forage Required For One AUM </t>
    </r>
    <r>
      <rPr>
        <sz val="9"/>
        <color theme="1"/>
        <rFont val="Calibri"/>
        <family val="2"/>
        <scheme val="minor"/>
      </rPr>
      <t>(lbs./AUM)</t>
    </r>
  </si>
  <si>
    <t xml:space="preserve">Fertilizer for Established Grass </t>
  </si>
  <si>
    <t>(lbs./acre)</t>
  </si>
  <si>
    <t xml:space="preserve">Start-Up Fertilizer </t>
  </si>
  <si>
    <t xml:space="preserve">Bale Weight </t>
  </si>
  <si>
    <t>(lbs.)</t>
  </si>
  <si>
    <t xml:space="preserve">Baling Cost </t>
  </si>
  <si>
    <t>($/Bale)</t>
  </si>
  <si>
    <t xml:space="preserve">Ownership Costs </t>
  </si>
  <si>
    <r>
      <t xml:space="preserve">Fertilizer Cost </t>
    </r>
    <r>
      <rPr>
        <i/>
        <sz val="9"/>
        <rFont val="Calibri"/>
        <family val="2"/>
        <scheme val="minor"/>
      </rPr>
      <t>($/acre)</t>
    </r>
  </si>
  <si>
    <r>
      <t xml:space="preserve">Total </t>
    </r>
    <r>
      <rPr>
        <i/>
        <sz val="9"/>
        <rFont val="Calibri"/>
        <family val="2"/>
        <scheme val="minor"/>
      </rPr>
      <t>(lbs./Acre)</t>
    </r>
  </si>
  <si>
    <t xml:space="preserve">Swathing </t>
  </si>
  <si>
    <r>
      <t xml:space="preserve">Fertilizer Cost </t>
    </r>
    <r>
      <rPr>
        <sz val="9"/>
        <color theme="1"/>
        <rFont val="Calibri"/>
        <family val="2"/>
        <scheme val="minor"/>
      </rPr>
      <t>($/cwt)</t>
    </r>
  </si>
  <si>
    <r>
      <t xml:space="preserve">Fertilizer Cost </t>
    </r>
    <r>
      <rPr>
        <sz val="9"/>
        <rFont val="Calibri"/>
        <family val="2"/>
        <scheme val="minor"/>
      </rPr>
      <t>($/cwt)</t>
    </r>
  </si>
  <si>
    <t xml:space="preserve"> </t>
  </si>
  <si>
    <t>Big Square Bale</t>
  </si>
  <si>
    <r>
      <t xml:space="preserve">Big Square Bale </t>
    </r>
    <r>
      <rPr>
        <sz val="9"/>
        <color theme="1"/>
        <rFont val="Calibri"/>
        <family val="2"/>
        <scheme val="minor"/>
      </rPr>
      <t>(bales/acre)</t>
    </r>
  </si>
  <si>
    <t>Big Square Bale (bales/acre)</t>
  </si>
  <si>
    <t>Cuttings</t>
  </si>
  <si>
    <t>Passes</t>
  </si>
  <si>
    <t>Grass Pasture</t>
  </si>
  <si>
    <t>Net Return Per Acre</t>
  </si>
  <si>
    <t>Total Tons</t>
  </si>
  <si>
    <r>
      <t xml:space="preserve">Annual Yield </t>
    </r>
    <r>
      <rPr>
        <i/>
        <sz val="9"/>
        <color theme="1"/>
        <rFont val="Calibri"/>
        <family val="2"/>
        <scheme val="minor"/>
      </rPr>
      <t>(tons/acre)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</si>
</sst>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0.0000"/>
    <numFmt numFmtId="166" formatCode="_(* #,##0_);_(* \(#,##0\);_(* &quot;-&quot;??_);_(@_)"/>
    <numFmt numFmtId="167" formatCode="0.0%"/>
  </numFmts>
  <fonts count="56" x14ac:knownFonts="1">
    <font>
      <sz val="11"/>
      <color theme="1"/>
      <name val="Calibri"/>
      <family val="2"/>
      <scheme val="minor"/>
    </font>
    <font>
      <sz val="12"/>
      <color theme="1"/>
      <name val="Arial"/>
      <family val="2"/>
    </font>
    <font>
      <sz val="10"/>
      <name val="Arial"/>
      <family val="2"/>
    </font>
    <font>
      <sz val="11"/>
      <color theme="1"/>
      <name val="Calibri"/>
      <family val="2"/>
      <scheme val="minor"/>
    </font>
    <font>
      <sz val="12"/>
      <color theme="1"/>
      <name val="Times New Roman"/>
      <family val="1"/>
    </font>
    <font>
      <b/>
      <sz val="12"/>
      <name val="Times New Roman"/>
      <family val="1"/>
    </font>
    <font>
      <sz val="12"/>
      <name val="Times New Roman"/>
      <family val="1"/>
    </font>
    <font>
      <b/>
      <i/>
      <sz val="12"/>
      <name val="Times New Roman"/>
      <family val="1"/>
    </font>
    <font>
      <sz val="11"/>
      <color theme="1"/>
      <name val="Times New Roman"/>
      <family val="1"/>
    </font>
    <font>
      <sz val="12"/>
      <color rgb="FF0066FF"/>
      <name val="Times New Roman"/>
      <family val="1"/>
    </font>
    <font>
      <sz val="12"/>
      <color theme="1"/>
      <name val="Calibri"/>
      <family val="2"/>
      <scheme val="minor"/>
    </font>
    <font>
      <b/>
      <sz val="12"/>
      <color rgb="FF0000FF"/>
      <name val="Times New Roman"/>
      <family val="1"/>
    </font>
    <font>
      <sz val="9"/>
      <color indexed="81"/>
      <name val="Tahoma"/>
      <family val="2"/>
    </font>
    <font>
      <sz val="12"/>
      <name val="Calibri"/>
      <family val="2"/>
      <scheme val="minor"/>
    </font>
    <font>
      <b/>
      <sz val="11"/>
      <color theme="1"/>
      <name val="Calibri"/>
      <family val="2"/>
      <scheme val="minor"/>
    </font>
    <font>
      <b/>
      <sz val="12"/>
      <color theme="1"/>
      <name val="Calibri"/>
      <family val="2"/>
      <scheme val="minor"/>
    </font>
    <font>
      <b/>
      <sz val="16"/>
      <name val="Calibri"/>
      <family val="2"/>
      <scheme val="minor"/>
    </font>
    <font>
      <b/>
      <sz val="16"/>
      <color rgb="FF0000FF"/>
      <name val="Calibri"/>
      <family val="2"/>
      <scheme val="minor"/>
    </font>
    <font>
      <b/>
      <sz val="11"/>
      <name val="Calibri"/>
      <family val="2"/>
      <scheme val="minor"/>
    </font>
    <font>
      <b/>
      <sz val="12"/>
      <name val="Calibri"/>
      <family val="2"/>
      <scheme val="minor"/>
    </font>
    <font>
      <sz val="11"/>
      <name val="Calibri"/>
      <family val="2"/>
      <scheme val="minor"/>
    </font>
    <font>
      <sz val="11"/>
      <color rgb="FF0000FF"/>
      <name val="Calibri"/>
      <family val="2"/>
      <scheme val="minor"/>
    </font>
    <font>
      <b/>
      <sz val="11"/>
      <color rgb="FF0000FF"/>
      <name val="Calibri"/>
      <family val="2"/>
      <scheme val="minor"/>
    </font>
    <font>
      <i/>
      <sz val="11"/>
      <name val="Calibri"/>
      <family val="2"/>
      <scheme val="minor"/>
    </font>
    <font>
      <b/>
      <sz val="10"/>
      <name val="Calibri"/>
      <family val="2"/>
      <scheme val="minor"/>
    </font>
    <font>
      <b/>
      <sz val="22"/>
      <name val="Calibri"/>
      <family val="2"/>
      <scheme val="minor"/>
    </font>
    <font>
      <i/>
      <sz val="12"/>
      <name val="Calibri"/>
      <family val="2"/>
      <scheme val="minor"/>
    </font>
    <font>
      <b/>
      <i/>
      <sz val="14"/>
      <name val="Calibri"/>
      <family val="2"/>
      <scheme val="minor"/>
    </font>
    <font>
      <b/>
      <i/>
      <sz val="12"/>
      <name val="Calibri"/>
      <family val="2"/>
      <scheme val="minor"/>
    </font>
    <font>
      <b/>
      <i/>
      <u/>
      <sz val="12"/>
      <name val="Calibri"/>
      <family val="2"/>
      <scheme val="minor"/>
    </font>
    <font>
      <b/>
      <sz val="14"/>
      <color theme="1"/>
      <name val="Calibri"/>
      <family val="2"/>
      <scheme val="minor"/>
    </font>
    <font>
      <b/>
      <sz val="28"/>
      <name val="Calibri"/>
      <family val="2"/>
      <scheme val="minor"/>
    </font>
    <font>
      <b/>
      <sz val="14"/>
      <name val="Calibri"/>
      <family val="2"/>
      <scheme val="minor"/>
    </font>
    <font>
      <b/>
      <sz val="12"/>
      <color rgb="FF0000FF"/>
      <name val="Calibri"/>
      <family val="2"/>
      <scheme val="minor"/>
    </font>
    <font>
      <sz val="12"/>
      <color rgb="FF0066FF"/>
      <name val="Calibri"/>
      <family val="2"/>
      <scheme val="minor"/>
    </font>
    <font>
      <b/>
      <sz val="18"/>
      <color rgb="FF008000"/>
      <name val="Corbel"/>
      <family val="2"/>
    </font>
    <font>
      <b/>
      <sz val="12"/>
      <color rgb="FF008000"/>
      <name val="Corbel"/>
      <family val="2"/>
    </font>
    <font>
      <i/>
      <sz val="11"/>
      <color theme="1"/>
      <name val="Calibri"/>
      <family val="2"/>
      <scheme val="minor"/>
    </font>
    <font>
      <sz val="10"/>
      <color theme="1"/>
      <name val="Calibri"/>
      <family val="2"/>
      <scheme val="minor"/>
    </font>
    <font>
      <sz val="10"/>
      <name val="Calibri"/>
      <family val="2"/>
      <scheme val="minor"/>
    </font>
    <font>
      <sz val="9"/>
      <name val="Calibri"/>
      <family val="2"/>
      <scheme val="minor"/>
    </font>
    <font>
      <sz val="11"/>
      <color rgb="FF0000FF"/>
      <name val="Times New Roman"/>
      <family val="1"/>
    </font>
    <font>
      <sz val="11"/>
      <name val="Times New Roman"/>
      <family val="1"/>
    </font>
    <font>
      <b/>
      <sz val="18"/>
      <color rgb="FF008000"/>
      <name val="Arial"/>
      <family val="2"/>
    </font>
    <font>
      <b/>
      <sz val="12"/>
      <color rgb="FF008000"/>
      <name val="Arial"/>
      <family val="2"/>
    </font>
    <font>
      <b/>
      <sz val="22"/>
      <color rgb="FF008000"/>
      <name val="Arial"/>
      <family val="2"/>
    </font>
    <font>
      <b/>
      <sz val="20"/>
      <color rgb="FF008000"/>
      <name val="Arial"/>
      <family val="2"/>
    </font>
    <font>
      <b/>
      <u/>
      <sz val="14"/>
      <color theme="1"/>
      <name val="Calibri"/>
      <family val="2"/>
      <scheme val="minor"/>
    </font>
    <font>
      <b/>
      <u val="double"/>
      <sz val="14"/>
      <color theme="1"/>
      <name val="Calibri"/>
      <family val="2"/>
      <scheme val="minor"/>
    </font>
    <font>
      <b/>
      <u val="double"/>
      <sz val="14"/>
      <name val="Calibri"/>
      <family val="2"/>
      <scheme val="minor"/>
    </font>
    <font>
      <sz val="14"/>
      <color theme="1"/>
      <name val="Calibri"/>
      <family val="2"/>
      <scheme val="minor"/>
    </font>
    <font>
      <sz val="9"/>
      <color theme="1"/>
      <name val="Calibri"/>
      <family val="2"/>
      <scheme val="minor"/>
    </font>
    <font>
      <b/>
      <sz val="9"/>
      <name val="Calibri"/>
      <family val="2"/>
      <scheme val="minor"/>
    </font>
    <font>
      <i/>
      <sz val="9"/>
      <name val="Calibri"/>
      <family val="2"/>
      <scheme val="minor"/>
    </font>
    <font>
      <sz val="12"/>
      <color rgb="FF0000FF"/>
      <name val="Calibri"/>
      <family val="2"/>
      <scheme val="minor"/>
    </font>
    <font>
      <i/>
      <sz val="9"/>
      <color theme="1"/>
      <name val="Calibri"/>
      <family val="2"/>
      <scheme val="minor"/>
    </font>
  </fonts>
  <fills count="1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2F2F2"/>
      </patternFill>
    </fill>
    <fill>
      <patternFill patternType="solid">
        <fgColor theme="4" tint="0.59996337778862885"/>
        <bgColor indexed="64"/>
      </patternFill>
    </fill>
    <fill>
      <patternFill patternType="solid">
        <fgColor theme="6" tint="0.59999389629810485"/>
        <bgColor indexed="64"/>
      </patternFill>
    </fill>
    <fill>
      <patternFill patternType="solid">
        <fgColor rgb="FFFFFFCC"/>
        <bgColor indexed="64"/>
      </patternFill>
    </fill>
    <fill>
      <patternFill patternType="solid">
        <fgColor rgb="FF008000"/>
        <bgColor indexed="64"/>
      </patternFill>
    </fill>
    <fill>
      <patternFill patternType="solid">
        <fgColor rgb="FF00B050"/>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BFCFA9"/>
        <bgColor indexed="64"/>
      </patternFill>
    </fill>
    <fill>
      <patternFill patternType="solid">
        <fgColor theme="3" tint="0.79998168889431442"/>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style="thin">
        <color auto="1"/>
      </left>
      <right style="medium">
        <color auto="1"/>
      </right>
      <top style="thin">
        <color auto="1"/>
      </top>
      <bottom/>
      <diagonal/>
    </border>
    <border>
      <left/>
      <right style="medium">
        <color auto="1"/>
      </right>
      <top/>
      <bottom/>
      <diagonal/>
    </border>
    <border>
      <left style="medium">
        <color auto="1"/>
      </left>
      <right style="thin">
        <color auto="1"/>
      </right>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style="medium">
        <color auto="1"/>
      </right>
      <top/>
      <bottom/>
      <diagonal/>
    </border>
    <border>
      <left style="thin">
        <color auto="1"/>
      </left>
      <right/>
      <top style="thin">
        <color auto="1"/>
      </top>
      <bottom/>
      <diagonal/>
    </border>
    <border>
      <left style="thin">
        <color auto="1"/>
      </left>
      <right/>
      <top style="medium">
        <color auto="1"/>
      </top>
      <bottom/>
      <diagonal/>
    </border>
    <border>
      <left/>
      <right/>
      <top style="thin">
        <color auto="1"/>
      </top>
      <bottom/>
      <diagonal/>
    </border>
  </borders>
  <cellStyleXfs count="12">
    <xf numFmtId="0" fontId="0" fillId="0" borderId="0"/>
    <xf numFmtId="0" fontId="1" fillId="0" borderId="0"/>
    <xf numFmtId="0" fontId="2" fillId="0" borderId="0"/>
    <xf numFmtId="44"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 fillId="4" borderId="19" applyNumberFormat="0" applyAlignment="0" applyProtection="0"/>
    <xf numFmtId="0" fontId="7" fillId="5" borderId="0" applyNumberFormat="0" applyAlignment="0" applyProtection="0"/>
    <xf numFmtId="0" fontId="9" fillId="7" borderId="1" applyNumberFormat="0" applyAlignment="0" applyProtection="0"/>
    <xf numFmtId="0" fontId="11" fillId="0" borderId="0" applyNumberFormat="0" applyAlignment="0" applyProtection="0"/>
  </cellStyleXfs>
  <cellXfs count="474">
    <xf numFmtId="0" fontId="0" fillId="0" borderId="0" xfId="0"/>
    <xf numFmtId="0" fontId="4" fillId="0" borderId="0" xfId="0" applyFont="1" applyFill="1" applyBorder="1" applyAlignment="1" applyProtection="1">
      <alignment horizontal="center"/>
    </xf>
    <xf numFmtId="0" fontId="0" fillId="0" borderId="0" xfId="0" applyFont="1"/>
    <xf numFmtId="0" fontId="0" fillId="0" borderId="8" xfId="0" applyFont="1" applyFill="1" applyBorder="1" applyAlignment="1" applyProtection="1">
      <alignment horizontal="left"/>
    </xf>
    <xf numFmtId="0" fontId="0" fillId="0" borderId="4" xfId="0" applyFont="1" applyFill="1" applyBorder="1" applyAlignment="1" applyProtection="1">
      <alignment horizontal="left"/>
    </xf>
    <xf numFmtId="0" fontId="13" fillId="0" borderId="0" xfId="0" applyFont="1" applyFill="1" applyProtection="1"/>
    <xf numFmtId="0" fontId="0" fillId="0" borderId="0" xfId="0" applyFont="1" applyBorder="1"/>
    <xf numFmtId="0" fontId="18" fillId="0" borderId="0" xfId="0" applyFont="1" applyFill="1" applyBorder="1" applyAlignment="1" applyProtection="1">
      <alignment vertical="center"/>
    </xf>
    <xf numFmtId="0" fontId="20" fillId="0" borderId="33" xfId="0" applyFont="1" applyFill="1" applyBorder="1" applyAlignment="1" applyProtection="1">
      <alignment horizontal="center"/>
    </xf>
    <xf numFmtId="0" fontId="20" fillId="0" borderId="0" xfId="0" applyFont="1" applyFill="1" applyBorder="1" applyProtection="1"/>
    <xf numFmtId="4" fontId="20" fillId="0" borderId="0" xfId="0" applyNumberFormat="1" applyFont="1" applyFill="1" applyBorder="1" applyAlignment="1" applyProtection="1">
      <alignment horizontal="right"/>
    </xf>
    <xf numFmtId="0" fontId="0" fillId="0" borderId="0" xfId="0" applyFont="1" applyFill="1" applyBorder="1" applyProtection="1"/>
    <xf numFmtId="44" fontId="20" fillId="0" borderId="0" xfId="7" applyFont="1" applyFill="1" applyBorder="1" applyAlignment="1" applyProtection="1">
      <alignment horizontal="right"/>
    </xf>
    <xf numFmtId="0" fontId="18" fillId="0" borderId="0" xfId="0" applyFont="1" applyFill="1" applyBorder="1" applyAlignment="1" applyProtection="1">
      <alignment horizontal="center" vertical="center"/>
    </xf>
    <xf numFmtId="4" fontId="23" fillId="0" borderId="33" xfId="0" applyNumberFormat="1" applyFont="1" applyFill="1" applyBorder="1" applyProtection="1"/>
    <xf numFmtId="44" fontId="20" fillId="0" borderId="33" xfId="7" applyFont="1" applyFill="1" applyBorder="1" applyAlignment="1" applyProtection="1">
      <alignment horizontal="center"/>
    </xf>
    <xf numFmtId="0" fontId="25" fillId="0" borderId="0" xfId="1" applyFont="1" applyFill="1" applyBorder="1" applyAlignment="1" applyProtection="1">
      <alignment vertical="center"/>
    </xf>
    <xf numFmtId="44" fontId="13" fillId="0" borderId="0" xfId="7" applyFont="1" applyFill="1" applyBorder="1" applyProtection="1"/>
    <xf numFmtId="0" fontId="19" fillId="0" borderId="0" xfId="1" applyFont="1" applyFill="1" applyBorder="1" applyAlignment="1" applyProtection="1"/>
    <xf numFmtId="0" fontId="13" fillId="0" borderId="0" xfId="0" applyFont="1" applyFill="1" applyBorder="1" applyAlignment="1" applyProtection="1"/>
    <xf numFmtId="0" fontId="13" fillId="0" borderId="0" xfId="0" applyFont="1" applyFill="1" applyBorder="1" applyAlignment="1" applyProtection="1">
      <alignment horizontal="center"/>
    </xf>
    <xf numFmtId="44" fontId="13" fillId="0" borderId="0" xfId="1" applyNumberFormat="1" applyFont="1" applyFill="1" applyBorder="1" applyAlignment="1" applyProtection="1">
      <alignment horizontal="center"/>
    </xf>
    <xf numFmtId="44" fontId="13" fillId="0" borderId="0" xfId="0" applyNumberFormat="1" applyFont="1" applyFill="1" applyBorder="1" applyProtection="1"/>
    <xf numFmtId="0" fontId="13" fillId="0" borderId="37" xfId="0" applyFont="1" applyFill="1" applyBorder="1" applyProtection="1"/>
    <xf numFmtId="0" fontId="19" fillId="0" borderId="19" xfId="1" applyFont="1" applyFill="1" applyBorder="1" applyAlignment="1" applyProtection="1"/>
    <xf numFmtId="164" fontId="19" fillId="0" borderId="0" xfId="1" applyNumberFormat="1" applyFont="1" applyFill="1" applyBorder="1" applyAlignment="1" applyProtection="1">
      <alignment horizontal="center"/>
    </xf>
    <xf numFmtId="164" fontId="26" fillId="0" borderId="0" xfId="0" applyNumberFormat="1" applyFont="1" applyFill="1" applyBorder="1" applyAlignment="1" applyProtection="1">
      <alignment horizontal="center"/>
    </xf>
    <xf numFmtId="44" fontId="13" fillId="0" borderId="0" xfId="7" applyFont="1" applyFill="1" applyBorder="1" applyAlignment="1" applyProtection="1">
      <alignment horizontal="center"/>
    </xf>
    <xf numFmtId="0" fontId="19" fillId="0" borderId="0" xfId="1" applyFont="1" applyFill="1" applyBorder="1" applyAlignment="1" applyProtection="1">
      <alignment horizontal="right"/>
    </xf>
    <xf numFmtId="0" fontId="19" fillId="0" borderId="0" xfId="0" applyFont="1" applyFill="1" applyBorder="1" applyAlignment="1" applyProtection="1">
      <alignment horizontal="center" vertical="center"/>
    </xf>
    <xf numFmtId="0" fontId="13" fillId="0" borderId="0" xfId="1" applyFont="1" applyFill="1" applyBorder="1" applyAlignment="1" applyProtection="1">
      <alignment horizontal="right"/>
    </xf>
    <xf numFmtId="0" fontId="13" fillId="0" borderId="0" xfId="1" applyFont="1" applyFill="1" applyBorder="1" applyAlignment="1" applyProtection="1"/>
    <xf numFmtId="0" fontId="19" fillId="0" borderId="0" xfId="0" applyFont="1" applyFill="1" applyBorder="1" applyAlignment="1" applyProtection="1">
      <alignment vertical="center" textRotation="24"/>
    </xf>
    <xf numFmtId="44" fontId="19" fillId="0" borderId="0" xfId="7" applyFont="1" applyFill="1" applyBorder="1" applyAlignment="1" applyProtection="1">
      <alignment horizontal="center"/>
    </xf>
    <xf numFmtId="0" fontId="19" fillId="0" borderId="0" xfId="0" applyFont="1" applyFill="1" applyBorder="1" applyAlignment="1" applyProtection="1"/>
    <xf numFmtId="0" fontId="19" fillId="0" borderId="19" xfId="1" applyFont="1" applyFill="1" applyBorder="1" applyAlignment="1" applyProtection="1">
      <alignment horizontal="center" vertical="center" wrapText="1"/>
    </xf>
    <xf numFmtId="0" fontId="19" fillId="0" borderId="0" xfId="1" applyFont="1" applyFill="1" applyBorder="1" applyAlignment="1" applyProtection="1">
      <alignment vertical="center" wrapText="1"/>
    </xf>
    <xf numFmtId="0" fontId="13" fillId="0" borderId="0" xfId="0" applyFont="1" applyFill="1" applyBorder="1" applyAlignment="1" applyProtection="1">
      <alignment horizontal="left"/>
    </xf>
    <xf numFmtId="2" fontId="13" fillId="0" borderId="0" xfId="1" applyNumberFormat="1" applyFont="1" applyFill="1" applyBorder="1" applyAlignment="1" applyProtection="1">
      <alignment horizontal="center"/>
    </xf>
    <xf numFmtId="4" fontId="13" fillId="0" borderId="0" xfId="1" applyNumberFormat="1" applyFont="1" applyFill="1" applyBorder="1" applyProtection="1"/>
    <xf numFmtId="44" fontId="13" fillId="0" borderId="13" xfId="7" applyFont="1" applyFill="1" applyBorder="1" applyAlignment="1" applyProtection="1">
      <alignment horizontal="center"/>
    </xf>
    <xf numFmtId="164" fontId="19" fillId="0" borderId="0" xfId="1" applyNumberFormat="1" applyFont="1" applyFill="1" applyBorder="1" applyProtection="1"/>
    <xf numFmtId="0" fontId="16" fillId="0" borderId="19" xfId="0" applyFont="1" applyFill="1" applyBorder="1" applyAlignment="1" applyProtection="1">
      <alignment vertical="center"/>
    </xf>
    <xf numFmtId="0" fontId="25" fillId="0" borderId="0" xfId="0" applyFont="1" applyFill="1" applyBorder="1" applyAlignment="1" applyProtection="1">
      <alignment vertical="center"/>
    </xf>
    <xf numFmtId="8" fontId="27" fillId="0" borderId="0" xfId="1" applyNumberFormat="1" applyFont="1" applyFill="1" applyBorder="1" applyAlignment="1" applyProtection="1">
      <alignment horizontal="center"/>
    </xf>
    <xf numFmtId="8" fontId="13" fillId="0" borderId="0" xfId="0" applyNumberFormat="1" applyFont="1" applyFill="1" applyBorder="1" applyAlignment="1" applyProtection="1">
      <alignment horizontal="center"/>
    </xf>
    <xf numFmtId="6" fontId="29" fillId="0" borderId="0" xfId="0" applyNumberFormat="1" applyFont="1" applyFill="1" applyBorder="1" applyAlignment="1" applyProtection="1">
      <alignment horizontal="center"/>
    </xf>
    <xf numFmtId="0" fontId="19" fillId="0" borderId="0" xfId="0" applyFont="1" applyFill="1" applyAlignment="1" applyProtection="1">
      <alignment horizontal="right"/>
    </xf>
    <xf numFmtId="8" fontId="13" fillId="0" borderId="0" xfId="0" applyNumberFormat="1" applyFont="1" applyFill="1" applyProtection="1"/>
    <xf numFmtId="0" fontId="0" fillId="0" borderId="20" xfId="0" applyFont="1" applyBorder="1"/>
    <xf numFmtId="0" fontId="0" fillId="0" borderId="33" xfId="0" applyFont="1" applyBorder="1"/>
    <xf numFmtId="9" fontId="33" fillId="7" borderId="26" xfId="6" applyFont="1" applyFill="1" applyBorder="1" applyProtection="1">
      <protection locked="0"/>
    </xf>
    <xf numFmtId="0" fontId="30" fillId="0" borderId="20" xfId="0" applyFont="1" applyBorder="1"/>
    <xf numFmtId="9" fontId="33" fillId="7" borderId="32" xfId="6" applyFont="1" applyFill="1" applyBorder="1" applyProtection="1">
      <protection locked="0"/>
    </xf>
    <xf numFmtId="0" fontId="15" fillId="2" borderId="25" xfId="0" applyFont="1" applyFill="1" applyBorder="1"/>
    <xf numFmtId="0" fontId="15" fillId="2" borderId="8" xfId="0" applyFont="1" applyFill="1" applyBorder="1" applyAlignment="1">
      <alignment horizontal="center"/>
    </xf>
    <xf numFmtId="0" fontId="15" fillId="2" borderId="32" xfId="0" applyFont="1" applyFill="1" applyBorder="1" applyAlignment="1">
      <alignment horizontal="center"/>
    </xf>
    <xf numFmtId="0" fontId="15" fillId="2" borderId="34" xfId="0" applyFont="1" applyFill="1" applyBorder="1"/>
    <xf numFmtId="0" fontId="15" fillId="2" borderId="9" xfId="0" applyFont="1" applyFill="1" applyBorder="1" applyAlignment="1">
      <alignment horizontal="center"/>
    </xf>
    <xf numFmtId="0" fontId="15" fillId="2" borderId="38" xfId="0" applyFont="1" applyFill="1" applyBorder="1" applyAlignment="1">
      <alignment horizontal="center"/>
    </xf>
    <xf numFmtId="0" fontId="15" fillId="2" borderId="24" xfId="0" applyFont="1" applyFill="1" applyBorder="1"/>
    <xf numFmtId="0" fontId="15" fillId="2" borderId="4" xfId="0" applyFont="1" applyFill="1" applyBorder="1" applyAlignment="1">
      <alignment horizontal="center"/>
    </xf>
    <xf numFmtId="0" fontId="15" fillId="2" borderId="26" xfId="0" applyFont="1" applyFill="1" applyBorder="1" applyAlignment="1">
      <alignment horizontal="center"/>
    </xf>
    <xf numFmtId="9" fontId="19" fillId="2" borderId="4" xfId="0" applyNumberFormat="1" applyFont="1" applyFill="1" applyBorder="1" applyAlignment="1" applyProtection="1">
      <alignment horizontal="center"/>
    </xf>
    <xf numFmtId="0" fontId="10" fillId="0" borderId="10" xfId="0" applyFont="1" applyBorder="1"/>
    <xf numFmtId="3" fontId="10" fillId="0" borderId="1" xfId="0" applyNumberFormat="1" applyFont="1" applyBorder="1"/>
    <xf numFmtId="166" fontId="10" fillId="0" borderId="1" xfId="5" applyNumberFormat="1" applyFont="1" applyBorder="1"/>
    <xf numFmtId="43" fontId="10" fillId="0" borderId="1" xfId="5" applyFont="1" applyBorder="1"/>
    <xf numFmtId="0" fontId="10" fillId="0" borderId="1" xfId="0" applyFont="1" applyBorder="1"/>
    <xf numFmtId="6" fontId="10" fillId="0" borderId="11" xfId="0" applyNumberFormat="1" applyFont="1" applyBorder="1"/>
    <xf numFmtId="0" fontId="34" fillId="3" borderId="1" xfId="0" applyFont="1" applyFill="1" applyBorder="1" applyProtection="1">
      <protection locked="0"/>
    </xf>
    <xf numFmtId="166" fontId="13" fillId="0" borderId="1" xfId="5" applyNumberFormat="1" applyFont="1" applyFill="1" applyBorder="1" applyProtection="1"/>
    <xf numFmtId="165" fontId="10" fillId="0" borderId="1" xfId="0" applyNumberFormat="1" applyFont="1" applyBorder="1"/>
    <xf numFmtId="37" fontId="10" fillId="0" borderId="1" xfId="5" applyNumberFormat="1" applyFont="1" applyBorder="1" applyAlignment="1">
      <alignment horizontal="right"/>
    </xf>
    <xf numFmtId="6" fontId="15" fillId="0" borderId="23" xfId="0" applyNumberFormat="1" applyFont="1" applyBorder="1"/>
    <xf numFmtId="0" fontId="0" fillId="0" borderId="0" xfId="0" applyFont="1" applyFill="1" applyBorder="1"/>
    <xf numFmtId="0" fontId="0" fillId="0" borderId="0" xfId="0" applyFont="1" applyFill="1"/>
    <xf numFmtId="9" fontId="19" fillId="3" borderId="26" xfId="6" applyFont="1" applyFill="1" applyBorder="1" applyProtection="1"/>
    <xf numFmtId="9" fontId="19" fillId="3" borderId="11" xfId="6" applyFont="1" applyFill="1" applyBorder="1" applyProtection="1"/>
    <xf numFmtId="9" fontId="19" fillId="2" borderId="1" xfId="0" applyNumberFormat="1" applyFont="1" applyFill="1" applyBorder="1" applyAlignment="1" applyProtection="1">
      <alignment horizontal="center"/>
    </xf>
    <xf numFmtId="0" fontId="31" fillId="0" borderId="0" xfId="0" applyFont="1" applyFill="1" applyBorder="1" applyAlignment="1"/>
    <xf numFmtId="0" fontId="25" fillId="0" borderId="0" xfId="0" applyFont="1" applyFill="1" applyBorder="1" applyAlignment="1"/>
    <xf numFmtId="0" fontId="25" fillId="0" borderId="0" xfId="0" applyFont="1" applyFill="1" applyBorder="1" applyAlignment="1">
      <alignment horizontal="left"/>
    </xf>
    <xf numFmtId="0" fontId="13" fillId="0" borderId="0" xfId="0" applyFont="1" applyFill="1" applyBorder="1" applyAlignment="1" applyProtection="1">
      <alignment horizontal="right"/>
    </xf>
    <xf numFmtId="0" fontId="19" fillId="0" borderId="0" xfId="0" applyFont="1" applyBorder="1" applyAlignment="1">
      <alignment horizontal="left"/>
    </xf>
    <xf numFmtId="0" fontId="13" fillId="9" borderId="0" xfId="0" applyFont="1" applyFill="1" applyBorder="1" applyAlignment="1">
      <alignment horizontal="left"/>
    </xf>
    <xf numFmtId="0" fontId="13" fillId="0" borderId="0" xfId="0" applyFont="1" applyBorder="1" applyAlignment="1">
      <alignment horizontal="left"/>
    </xf>
    <xf numFmtId="0" fontId="0" fillId="0" borderId="0" xfId="0" applyFont="1" applyBorder="1" applyAlignment="1">
      <alignment horizontal="left"/>
    </xf>
    <xf numFmtId="0" fontId="15" fillId="0" borderId="0" xfId="0" applyFont="1" applyBorder="1" applyAlignment="1">
      <alignment horizontal="left"/>
    </xf>
    <xf numFmtId="0" fontId="10" fillId="0" borderId="0" xfId="0" applyFont="1" applyBorder="1" applyAlignment="1">
      <alignment horizontal="left"/>
    </xf>
    <xf numFmtId="0" fontId="13" fillId="10" borderId="0" xfId="0" applyFont="1" applyFill="1" applyBorder="1" applyAlignment="1">
      <alignment horizontal="left"/>
    </xf>
    <xf numFmtId="0" fontId="13" fillId="0" borderId="19" xfId="0" applyFont="1" applyFill="1" applyBorder="1" applyProtection="1"/>
    <xf numFmtId="8" fontId="13" fillId="0" borderId="0" xfId="0" applyNumberFormat="1" applyFont="1" applyFill="1" applyBorder="1" applyProtection="1"/>
    <xf numFmtId="0" fontId="19" fillId="0" borderId="37" xfId="1" applyFont="1" applyFill="1" applyBorder="1" applyAlignment="1" applyProtection="1"/>
    <xf numFmtId="0" fontId="13" fillId="0" borderId="37" xfId="0" applyFont="1" applyFill="1" applyBorder="1" applyAlignment="1" applyProtection="1">
      <alignment horizontal="center"/>
    </xf>
    <xf numFmtId="4" fontId="21" fillId="7" borderId="1" xfId="0" applyNumberFormat="1" applyFont="1" applyFill="1" applyBorder="1" applyAlignment="1" applyProtection="1">
      <alignment horizontal="right"/>
      <protection locked="0"/>
    </xf>
    <xf numFmtId="44" fontId="21" fillId="7" borderId="1" xfId="7" applyFont="1" applyFill="1" applyBorder="1" applyAlignment="1" applyProtection="1">
      <alignment horizontal="right"/>
      <protection locked="0"/>
    </xf>
    <xf numFmtId="3" fontId="21" fillId="7" borderId="1" xfId="0" applyNumberFormat="1" applyFont="1" applyFill="1" applyBorder="1" applyProtection="1">
      <protection locked="0"/>
    </xf>
    <xf numFmtId="44" fontId="20" fillId="0" borderId="0" xfId="7" applyFont="1" applyFill="1" applyBorder="1" applyAlignment="1" applyProtection="1">
      <alignment horizontal="right" indent="3"/>
    </xf>
    <xf numFmtId="0" fontId="19" fillId="0" borderId="0" xfId="1" applyFont="1" applyFill="1" applyBorder="1" applyAlignment="1" applyProtection="1">
      <alignment horizontal="left" indent="1"/>
    </xf>
    <xf numFmtId="0" fontId="10" fillId="0" borderId="0" xfId="0" applyFont="1"/>
    <xf numFmtId="0" fontId="10" fillId="8" borderId="0" xfId="0" applyFont="1" applyFill="1"/>
    <xf numFmtId="9" fontId="19" fillId="0" borderId="1" xfId="0" applyNumberFormat="1" applyFont="1" applyFill="1" applyBorder="1" applyAlignment="1" applyProtection="1">
      <alignment horizontal="center"/>
    </xf>
    <xf numFmtId="0" fontId="32" fillId="0" borderId="19" xfId="1" applyFont="1" applyFill="1" applyBorder="1" applyAlignment="1" applyProtection="1">
      <alignment horizontal="left" indent="1"/>
    </xf>
    <xf numFmtId="0" fontId="13" fillId="0" borderId="0" xfId="0" applyFont="1" applyFill="1" applyBorder="1" applyAlignment="1" applyProtection="1">
      <alignment horizontal="left" indent="1"/>
    </xf>
    <xf numFmtId="0" fontId="19" fillId="0" borderId="19" xfId="1" applyFont="1" applyFill="1" applyBorder="1" applyAlignment="1" applyProtection="1">
      <alignment horizontal="left" vertical="center" wrapText="1" indent="1"/>
    </xf>
    <xf numFmtId="0" fontId="36" fillId="0" borderId="0" xfId="0" applyNumberFormat="1" applyFont="1" applyFill="1" applyAlignment="1" applyProtection="1">
      <alignment horizontal="left" vertical="top" indent="2"/>
    </xf>
    <xf numFmtId="0" fontId="39" fillId="0" borderId="0" xfId="0" applyNumberFormat="1" applyFont="1" applyFill="1" applyAlignment="1" applyProtection="1">
      <alignment horizontal="left" vertical="top" indent="2"/>
    </xf>
    <xf numFmtId="0" fontId="19" fillId="0" borderId="0" xfId="1" applyFont="1" applyFill="1" applyBorder="1" applyAlignment="1" applyProtection="1">
      <alignment horizontal="center"/>
    </xf>
    <xf numFmtId="0" fontId="13" fillId="0" borderId="0" xfId="0" applyFont="1" applyFill="1" applyBorder="1" applyProtection="1"/>
    <xf numFmtId="0" fontId="19" fillId="0" borderId="0" xfId="0" applyFont="1" applyFill="1" applyBorder="1" applyAlignment="1" applyProtection="1">
      <alignment horizontal="left"/>
    </xf>
    <xf numFmtId="0" fontId="39" fillId="0" borderId="0" xfId="0" applyFont="1" applyFill="1" applyBorder="1" applyAlignment="1">
      <alignment horizontal="left" vertical="center" indent="2"/>
    </xf>
    <xf numFmtId="0" fontId="0" fillId="0" borderId="0" xfId="0" applyAlignment="1">
      <alignment horizontal="center"/>
    </xf>
    <xf numFmtId="0" fontId="0" fillId="0" borderId="8" xfId="0" applyBorder="1" applyAlignment="1">
      <alignment horizontal="center"/>
    </xf>
    <xf numFmtId="9" fontId="0" fillId="0" borderId="9" xfId="6" applyFont="1" applyBorder="1" applyAlignment="1">
      <alignment horizontal="center"/>
    </xf>
    <xf numFmtId="9" fontId="0" fillId="0" borderId="4" xfId="6" applyFont="1" applyBorder="1" applyAlignment="1">
      <alignment horizontal="center"/>
    </xf>
    <xf numFmtId="167" fontId="0" fillId="0" borderId="9" xfId="6" applyNumberFormat="1" applyFont="1" applyBorder="1" applyAlignment="1">
      <alignment horizontal="center"/>
    </xf>
    <xf numFmtId="167" fontId="0" fillId="0" borderId="4" xfId="6" applyNumberFormat="1" applyFont="1" applyBorder="1" applyAlignment="1">
      <alignment horizontal="center"/>
    </xf>
    <xf numFmtId="0" fontId="0" fillId="0" borderId="0" xfId="0" applyFont="1" applyAlignment="1">
      <alignment horizontal="center"/>
    </xf>
    <xf numFmtId="0" fontId="4" fillId="0" borderId="36" xfId="0" applyFont="1" applyFill="1" applyBorder="1" applyAlignment="1" applyProtection="1">
      <alignment horizontal="center"/>
    </xf>
    <xf numFmtId="44" fontId="6" fillId="0" borderId="36" xfId="7" applyFont="1" applyFill="1" applyBorder="1" applyAlignment="1" applyProtection="1">
      <alignment horizontal="center"/>
      <protection locked="0"/>
    </xf>
    <xf numFmtId="44" fontId="6" fillId="0" borderId="14" xfId="7" applyFont="1" applyFill="1" applyBorder="1" applyAlignment="1" applyProtection="1">
      <alignment horizontal="center"/>
      <protection locked="0"/>
    </xf>
    <xf numFmtId="0" fontId="4" fillId="0" borderId="0" xfId="0" applyFont="1" applyFill="1" applyAlignment="1" applyProtection="1">
      <alignment horizontal="center"/>
    </xf>
    <xf numFmtId="0" fontId="8" fillId="0" borderId="0" xfId="0" applyFont="1" applyFill="1" applyBorder="1" applyAlignment="1" applyProtection="1">
      <alignment horizontal="left" indent="2"/>
    </xf>
    <xf numFmtId="0" fontId="0" fillId="0" borderId="0" xfId="0" applyFont="1" applyAlignment="1">
      <alignment horizontal="left"/>
    </xf>
    <xf numFmtId="0" fontId="8" fillId="0" borderId="37" xfId="0" applyFont="1" applyFill="1" applyBorder="1" applyAlignment="1" applyProtection="1">
      <alignment horizontal="left"/>
    </xf>
    <xf numFmtId="0" fontId="8" fillId="0" borderId="0" xfId="0" applyFont="1" applyFill="1" applyBorder="1" applyAlignment="1" applyProtection="1">
      <alignment horizontal="left"/>
    </xf>
    <xf numFmtId="0" fontId="8" fillId="0" borderId="0" xfId="0" applyFont="1" applyFill="1" applyAlignment="1" applyProtection="1">
      <alignment horizontal="left"/>
    </xf>
    <xf numFmtId="44" fontId="41" fillId="0" borderId="37" xfId="7" applyFont="1" applyFill="1" applyBorder="1" applyAlignment="1" applyProtection="1">
      <alignment horizontal="left"/>
      <protection locked="0"/>
    </xf>
    <xf numFmtId="44" fontId="42" fillId="0" borderId="37" xfId="7" applyFont="1" applyFill="1" applyBorder="1" applyAlignment="1" applyProtection="1">
      <alignment horizontal="left"/>
    </xf>
    <xf numFmtId="0" fontId="8" fillId="0" borderId="12" xfId="0" applyFont="1" applyFill="1" applyBorder="1" applyAlignment="1" applyProtection="1">
      <alignment horizontal="left"/>
    </xf>
    <xf numFmtId="44" fontId="42" fillId="0" borderId="12" xfId="7" applyFont="1" applyFill="1" applyBorder="1" applyAlignment="1" applyProtection="1">
      <alignment horizontal="left"/>
    </xf>
    <xf numFmtId="9" fontId="13" fillId="0" borderId="0" xfId="6" applyFont="1" applyFill="1" applyBorder="1" applyAlignment="1" applyProtection="1">
      <alignment horizontal="center"/>
    </xf>
    <xf numFmtId="9" fontId="13" fillId="0" borderId="0" xfId="6" quotePrefix="1" applyFont="1" applyFill="1" applyBorder="1" applyAlignment="1" applyProtection="1">
      <alignment horizontal="center"/>
    </xf>
    <xf numFmtId="8" fontId="13" fillId="0" borderId="0" xfId="7" applyNumberFormat="1" applyFont="1" applyFill="1" applyBorder="1" applyAlignment="1" applyProtection="1">
      <alignment horizontal="center"/>
    </xf>
    <xf numFmtId="0" fontId="13" fillId="0" borderId="37" xfId="1" applyFont="1" applyFill="1" applyBorder="1" applyAlignment="1" applyProtection="1">
      <alignment horizontal="right"/>
    </xf>
    <xf numFmtId="9" fontId="13" fillId="0" borderId="0" xfId="6" applyFont="1" applyFill="1" applyBorder="1" applyAlignment="1" applyProtection="1">
      <alignment horizontal="right"/>
    </xf>
    <xf numFmtId="2" fontId="13" fillId="0" borderId="0" xfId="0" applyNumberFormat="1" applyFont="1" applyFill="1" applyBorder="1" applyProtection="1"/>
    <xf numFmtId="9" fontId="13" fillId="0" borderId="0" xfId="6" quotePrefix="1" applyFont="1" applyFill="1" applyBorder="1" applyAlignment="1" applyProtection="1">
      <alignment horizontal="right"/>
    </xf>
    <xf numFmtId="4" fontId="13" fillId="0" borderId="0" xfId="0" applyNumberFormat="1" applyFont="1" applyFill="1" applyBorder="1" applyProtection="1"/>
    <xf numFmtId="0" fontId="19" fillId="0" borderId="0" xfId="0" applyFont="1" applyFill="1" applyAlignment="1" applyProtection="1">
      <alignment horizontal="left" indent="2"/>
    </xf>
    <xf numFmtId="0" fontId="0" fillId="0" borderId="0" xfId="0" applyFont="1" applyBorder="1" applyProtection="1"/>
    <xf numFmtId="4" fontId="20" fillId="0" borderId="0" xfId="0" applyNumberFormat="1" applyFont="1" applyFill="1" applyBorder="1" applyAlignment="1" applyProtection="1">
      <alignment horizontal="left"/>
    </xf>
    <xf numFmtId="0" fontId="0" fillId="0" borderId="33" xfId="0" applyFont="1" applyBorder="1" applyProtection="1"/>
    <xf numFmtId="44" fontId="21" fillId="0" borderId="0" xfId="7" applyFont="1" applyFill="1" applyBorder="1" applyAlignment="1" applyProtection="1">
      <alignment horizontal="right"/>
    </xf>
    <xf numFmtId="9" fontId="22" fillId="0" borderId="33" xfId="6" applyFont="1" applyFill="1" applyBorder="1" applyAlignment="1" applyProtection="1">
      <alignment horizontal="right"/>
    </xf>
    <xf numFmtId="0" fontId="0" fillId="0" borderId="20" xfId="0" applyFont="1" applyBorder="1" applyProtection="1"/>
    <xf numFmtId="0" fontId="0" fillId="0" borderId="21" xfId="0" applyFont="1" applyBorder="1" applyProtection="1"/>
    <xf numFmtId="0" fontId="0" fillId="0" borderId="19" xfId="0" applyFont="1" applyBorder="1" applyProtection="1"/>
    <xf numFmtId="0" fontId="16" fillId="12" borderId="0" xfId="0" applyFont="1" applyFill="1" applyProtection="1"/>
    <xf numFmtId="44" fontId="21" fillId="7" borderId="1" xfId="7" applyFont="1" applyFill="1" applyBorder="1" applyProtection="1">
      <protection locked="0"/>
    </xf>
    <xf numFmtId="0" fontId="43" fillId="0" borderId="0" xfId="0" applyFont="1"/>
    <xf numFmtId="0" fontId="44" fillId="0" borderId="0" xfId="0" applyNumberFormat="1" applyFont="1" applyAlignment="1">
      <alignment horizontal="left" vertical="top" indent="2"/>
    </xf>
    <xf numFmtId="0" fontId="46" fillId="0" borderId="0" xfId="0" applyFont="1" applyAlignment="1" applyProtection="1"/>
    <xf numFmtId="0" fontId="44" fillId="0" borderId="0" xfId="0" applyNumberFormat="1" applyFont="1" applyFill="1" applyAlignment="1" applyProtection="1">
      <alignment horizontal="left" vertical="top" indent="3"/>
    </xf>
    <xf numFmtId="0" fontId="46" fillId="0" borderId="0" xfId="0" applyFont="1" applyAlignment="1"/>
    <xf numFmtId="0" fontId="44" fillId="0" borderId="0" xfId="0" applyFont="1" applyAlignment="1">
      <alignment horizontal="left" vertical="top" indent="3"/>
    </xf>
    <xf numFmtId="0" fontId="43" fillId="0" borderId="0" xfId="0" applyFont="1" applyFill="1" applyBorder="1" applyAlignment="1">
      <alignment vertical="top"/>
    </xf>
    <xf numFmtId="0" fontId="0" fillId="0" borderId="0" xfId="0" applyFont="1" applyBorder="1" applyAlignment="1">
      <alignment horizontal="center"/>
    </xf>
    <xf numFmtId="0" fontId="0" fillId="0" borderId="9" xfId="0" applyFont="1" applyFill="1" applyBorder="1" applyAlignment="1" applyProtection="1">
      <alignment horizontal="left"/>
    </xf>
    <xf numFmtId="0" fontId="20" fillId="0" borderId="0" xfId="1" applyFont="1" applyFill="1" applyBorder="1" applyAlignment="1" applyProtection="1">
      <alignment horizontal="left" indent="2"/>
    </xf>
    <xf numFmtId="0" fontId="20" fillId="0" borderId="0" xfId="0" applyFont="1" applyFill="1" applyBorder="1" applyAlignment="1" applyProtection="1">
      <alignment horizontal="left" indent="2"/>
    </xf>
    <xf numFmtId="0" fontId="23" fillId="0" borderId="0" xfId="0" applyFont="1" applyFill="1" applyBorder="1" applyAlignment="1" applyProtection="1">
      <alignment horizontal="left" indent="1"/>
    </xf>
    <xf numFmtId="0" fontId="23" fillId="0" borderId="13" xfId="0" applyFont="1" applyFill="1" applyBorder="1" applyAlignment="1" applyProtection="1">
      <alignment horizontal="left" indent="1"/>
    </xf>
    <xf numFmtId="0" fontId="20" fillId="0" borderId="0" xfId="0" applyFont="1" applyFill="1" applyBorder="1" applyAlignment="1" applyProtection="1">
      <alignment horizontal="left" indent="1"/>
    </xf>
    <xf numFmtId="0" fontId="16" fillId="0" borderId="0" xfId="0" applyFont="1" applyFill="1" applyBorder="1" applyAlignment="1" applyProtection="1">
      <alignment horizontal="center"/>
    </xf>
    <xf numFmtId="0" fontId="18" fillId="0" borderId="0" xfId="0" applyFont="1" applyFill="1" applyBorder="1" applyAlignment="1" applyProtection="1">
      <alignment horizontal="center"/>
    </xf>
    <xf numFmtId="0" fontId="20" fillId="0" borderId="0" xfId="0" applyFont="1" applyFill="1" applyBorder="1" applyAlignment="1" applyProtection="1">
      <alignment horizontal="center"/>
    </xf>
    <xf numFmtId="9" fontId="22" fillId="0" borderId="0" xfId="6" applyFont="1" applyFill="1" applyBorder="1" applyAlignment="1" applyProtection="1">
      <alignment horizontal="right"/>
    </xf>
    <xf numFmtId="4" fontId="23" fillId="0" borderId="0" xfId="0" applyNumberFormat="1" applyFont="1" applyFill="1" applyBorder="1" applyProtection="1"/>
    <xf numFmtId="44" fontId="23" fillId="0" borderId="0" xfId="7" applyFont="1" applyFill="1" applyBorder="1" applyProtection="1"/>
    <xf numFmtId="0" fontId="18" fillId="6" borderId="0" xfId="0" applyFont="1" applyFill="1" applyBorder="1" applyAlignment="1" applyProtection="1"/>
    <xf numFmtId="44" fontId="20" fillId="0" borderId="0" xfId="7" applyFont="1" applyFill="1" applyBorder="1" applyAlignment="1" applyProtection="1">
      <alignment horizontal="center"/>
    </xf>
    <xf numFmtId="0" fontId="18" fillId="11" borderId="0" xfId="0" applyFont="1" applyFill="1" applyBorder="1" applyAlignment="1" applyProtection="1"/>
    <xf numFmtId="0" fontId="17" fillId="0" borderId="0" xfId="0" applyFont="1" applyFill="1" applyBorder="1" applyAlignment="1" applyProtection="1">
      <alignment horizontal="center"/>
      <protection locked="0"/>
    </xf>
    <xf numFmtId="44" fontId="21" fillId="0" borderId="0" xfId="7" applyFont="1" applyFill="1" applyBorder="1" applyAlignment="1" applyProtection="1">
      <alignment horizontal="center"/>
      <protection locked="0"/>
    </xf>
    <xf numFmtId="44" fontId="21" fillId="0" borderId="0" xfId="7" applyFont="1" applyFill="1" applyBorder="1" applyProtection="1">
      <protection locked="0"/>
    </xf>
    <xf numFmtId="0" fontId="18" fillId="0" borderId="0" xfId="0" applyFont="1" applyFill="1" applyBorder="1" applyAlignment="1" applyProtection="1"/>
    <xf numFmtId="44" fontId="21" fillId="0" borderId="0" xfId="7" applyFont="1" applyFill="1" applyBorder="1" applyAlignment="1" applyProtection="1">
      <alignment horizontal="right"/>
      <protection locked="0"/>
    </xf>
    <xf numFmtId="4" fontId="21" fillId="0" borderId="0" xfId="0" applyNumberFormat="1" applyFont="1" applyFill="1" applyBorder="1" applyAlignment="1" applyProtection="1">
      <protection locked="0"/>
    </xf>
    <xf numFmtId="4" fontId="21" fillId="0" borderId="0" xfId="0" applyNumberFormat="1" applyFont="1" applyFill="1" applyBorder="1" applyAlignment="1" applyProtection="1">
      <alignment horizontal="right"/>
      <protection locked="0"/>
    </xf>
    <xf numFmtId="0" fontId="45" fillId="0" borderId="0" xfId="0" applyFont="1" applyBorder="1" applyProtection="1"/>
    <xf numFmtId="0" fontId="44" fillId="0" borderId="0" xfId="0" applyNumberFormat="1" applyFont="1" applyBorder="1" applyAlignment="1" applyProtection="1">
      <alignment horizontal="left" indent="2"/>
    </xf>
    <xf numFmtId="0" fontId="38" fillId="0" borderId="0" xfId="0" applyFont="1" applyBorder="1" applyAlignment="1" applyProtection="1">
      <alignment horizontal="left" vertical="center" indent="1"/>
    </xf>
    <xf numFmtId="0" fontId="38" fillId="0" borderId="0" xfId="0" applyFont="1" applyBorder="1" applyAlignment="1" applyProtection="1">
      <alignment vertical="center"/>
    </xf>
    <xf numFmtId="0" fontId="38" fillId="0" borderId="0" xfId="0" applyFont="1" applyFill="1" applyBorder="1" applyAlignment="1" applyProtection="1">
      <alignment vertical="center"/>
    </xf>
    <xf numFmtId="0" fontId="38" fillId="0" borderId="0" xfId="0" applyFont="1" applyBorder="1" applyAlignment="1" applyProtection="1">
      <alignment horizontal="left" indent="1"/>
    </xf>
    <xf numFmtId="0" fontId="14" fillId="0" borderId="0" xfId="1" applyFont="1" applyFill="1" applyBorder="1" applyAlignment="1" applyProtection="1">
      <alignment horizontal="left"/>
    </xf>
    <xf numFmtId="0" fontId="14" fillId="0" borderId="0" xfId="0" applyFont="1" applyFill="1" applyBorder="1" applyAlignment="1" applyProtection="1">
      <alignment horizontal="left"/>
    </xf>
    <xf numFmtId="0" fontId="18" fillId="0" borderId="0" xfId="0" applyFont="1" applyFill="1" applyBorder="1" applyAlignment="1" applyProtection="1">
      <alignment horizontal="left"/>
    </xf>
    <xf numFmtId="0" fontId="37" fillId="0" borderId="0" xfId="0" applyFont="1" applyFill="1" applyBorder="1" applyAlignment="1" applyProtection="1">
      <alignment horizontal="left" indent="1"/>
    </xf>
    <xf numFmtId="4" fontId="23" fillId="0" borderId="0" xfId="0" applyNumberFormat="1" applyFont="1" applyFill="1" applyBorder="1" applyAlignment="1" applyProtection="1">
      <alignment horizontal="right"/>
    </xf>
    <xf numFmtId="0" fontId="0" fillId="0" borderId="0" xfId="0" applyFont="1" applyFill="1" applyBorder="1" applyAlignment="1" applyProtection="1">
      <alignment horizontal="left" indent="2"/>
    </xf>
    <xf numFmtId="0" fontId="20" fillId="0" borderId="0" xfId="0" applyFont="1" applyFill="1" applyBorder="1" applyAlignment="1" applyProtection="1">
      <alignment horizontal="right"/>
    </xf>
    <xf numFmtId="44" fontId="23" fillId="0" borderId="0" xfId="7" applyFont="1" applyFill="1" applyBorder="1" applyAlignment="1" applyProtection="1">
      <alignment horizontal="right"/>
    </xf>
    <xf numFmtId="0" fontId="18" fillId="0" borderId="0" xfId="0" applyFont="1" applyFill="1" applyBorder="1" applyAlignment="1" applyProtection="1">
      <alignment horizontal="left" indent="1"/>
    </xf>
    <xf numFmtId="0" fontId="0" fillId="0" borderId="0" xfId="0" applyFont="1" applyFill="1" applyBorder="1" applyAlignment="1" applyProtection="1">
      <alignment horizontal="left" indent="3"/>
    </xf>
    <xf numFmtId="3" fontId="20" fillId="0" borderId="0" xfId="0" applyNumberFormat="1" applyFont="1" applyFill="1" applyBorder="1" applyAlignment="1" applyProtection="1">
      <alignment horizontal="right"/>
    </xf>
    <xf numFmtId="4" fontId="18" fillId="0" borderId="0" xfId="0" applyNumberFormat="1" applyFont="1" applyFill="1" applyBorder="1" applyAlignment="1" applyProtection="1">
      <alignment horizontal="right"/>
    </xf>
    <xf numFmtId="0" fontId="14" fillId="0" borderId="0" xfId="0" applyFont="1" applyFill="1" applyBorder="1" applyAlignment="1" applyProtection="1">
      <alignment horizontal="center"/>
    </xf>
    <xf numFmtId="0" fontId="16" fillId="0" borderId="0" xfId="0" applyFont="1" applyFill="1" applyBorder="1" applyAlignment="1" applyProtection="1">
      <alignment horizontal="center" vertical="center"/>
      <protection locked="0"/>
    </xf>
    <xf numFmtId="3" fontId="21" fillId="0" borderId="0" xfId="0" applyNumberFormat="1" applyFont="1" applyFill="1" applyBorder="1" applyProtection="1">
      <protection locked="0"/>
    </xf>
    <xf numFmtId="0" fontId="24" fillId="0" borderId="0" xfId="0" applyFont="1" applyFill="1" applyBorder="1" applyAlignment="1" applyProtection="1">
      <alignment horizontal="left" vertical="center"/>
    </xf>
    <xf numFmtId="0" fontId="0" fillId="0" borderId="5" xfId="0" applyFont="1" applyFill="1" applyBorder="1" applyProtection="1"/>
    <xf numFmtId="0" fontId="0" fillId="0" borderId="6" xfId="0" applyFont="1" applyBorder="1" applyProtection="1"/>
    <xf numFmtId="0" fontId="0" fillId="0" borderId="7" xfId="0" applyFont="1" applyFill="1" applyBorder="1" applyProtection="1"/>
    <xf numFmtId="0" fontId="0" fillId="0" borderId="20" xfId="0" applyFont="1" applyFill="1" applyBorder="1" applyProtection="1"/>
    <xf numFmtId="0" fontId="0" fillId="0" borderId="33" xfId="0" applyFont="1" applyFill="1" applyBorder="1" applyProtection="1"/>
    <xf numFmtId="0" fontId="14" fillId="0" borderId="33" xfId="0" applyFont="1" applyFill="1" applyBorder="1" applyAlignment="1" applyProtection="1">
      <alignment horizontal="center"/>
    </xf>
    <xf numFmtId="0" fontId="16" fillId="0" borderId="33" xfId="0" applyFont="1" applyFill="1" applyBorder="1" applyAlignment="1" applyProtection="1">
      <alignment horizontal="center" vertical="center"/>
      <protection locked="0"/>
    </xf>
    <xf numFmtId="0" fontId="0" fillId="0" borderId="21" xfId="0" applyFont="1" applyFill="1" applyBorder="1" applyProtection="1"/>
    <xf numFmtId="0" fontId="0" fillId="0" borderId="18" xfId="0" applyFont="1" applyFill="1" applyBorder="1" applyProtection="1"/>
    <xf numFmtId="0" fontId="0" fillId="0" borderId="5" xfId="0" applyFont="1" applyBorder="1" applyProtection="1"/>
    <xf numFmtId="0" fontId="16" fillId="0" borderId="33" xfId="0" applyFont="1" applyFill="1" applyBorder="1" applyAlignment="1" applyProtection="1">
      <alignment horizontal="center"/>
    </xf>
    <xf numFmtId="0" fontId="17" fillId="0" borderId="33" xfId="0" applyFont="1" applyFill="1" applyBorder="1" applyAlignment="1" applyProtection="1">
      <alignment horizontal="center"/>
      <protection locked="0"/>
    </xf>
    <xf numFmtId="0" fontId="0" fillId="0" borderId="7" xfId="0" applyFont="1" applyBorder="1" applyProtection="1"/>
    <xf numFmtId="0" fontId="0" fillId="0" borderId="18" xfId="0" applyFont="1" applyBorder="1" applyProtection="1"/>
    <xf numFmtId="0" fontId="18" fillId="0" borderId="33" xfId="0" applyFont="1" applyFill="1" applyBorder="1" applyAlignment="1" applyProtection="1">
      <alignment horizontal="center"/>
    </xf>
    <xf numFmtId="44" fontId="21" fillId="0" borderId="33" xfId="7" applyFont="1" applyFill="1" applyBorder="1" applyAlignment="1" applyProtection="1">
      <alignment horizontal="center"/>
      <protection locked="0"/>
    </xf>
    <xf numFmtId="44" fontId="21" fillId="0" borderId="33" xfId="7" applyFont="1" applyFill="1" applyBorder="1" applyProtection="1">
      <protection locked="0"/>
    </xf>
    <xf numFmtId="4" fontId="21" fillId="0" borderId="33" xfId="0" applyNumberFormat="1" applyFont="1" applyFill="1" applyBorder="1" applyProtection="1">
      <protection locked="0"/>
    </xf>
    <xf numFmtId="44" fontId="23" fillId="0" borderId="33" xfId="7" applyFont="1" applyFill="1" applyBorder="1" applyProtection="1"/>
    <xf numFmtId="0" fontId="18" fillId="0" borderId="33" xfId="0" applyFont="1" applyFill="1" applyBorder="1" applyAlignment="1" applyProtection="1"/>
    <xf numFmtId="44" fontId="21" fillId="0" borderId="33" xfId="7" applyFont="1" applyFill="1" applyBorder="1" applyAlignment="1" applyProtection="1">
      <alignment horizontal="right"/>
      <protection locked="0"/>
    </xf>
    <xf numFmtId="4" fontId="21" fillId="0" borderId="33" xfId="0" applyNumberFormat="1" applyFont="1" applyFill="1" applyBorder="1" applyAlignment="1" applyProtection="1">
      <protection locked="0"/>
    </xf>
    <xf numFmtId="4" fontId="21" fillId="0" borderId="33" xfId="0" applyNumberFormat="1" applyFont="1" applyFill="1" applyBorder="1" applyAlignment="1" applyProtection="1">
      <alignment horizontal="right"/>
      <protection locked="0"/>
    </xf>
    <xf numFmtId="44" fontId="21" fillId="7" borderId="1" xfId="7" applyFont="1" applyFill="1" applyBorder="1" applyAlignment="1" applyProtection="1">
      <alignment horizontal="center"/>
      <protection locked="0"/>
    </xf>
    <xf numFmtId="4" fontId="21" fillId="7" borderId="1" xfId="0" applyNumberFormat="1" applyFont="1" applyFill="1" applyBorder="1" applyProtection="1">
      <protection locked="0"/>
    </xf>
    <xf numFmtId="4" fontId="21" fillId="7" borderId="1" xfId="0" applyNumberFormat="1" applyFont="1" applyFill="1" applyBorder="1" applyAlignment="1" applyProtection="1">
      <protection locked="0"/>
    </xf>
    <xf numFmtId="9" fontId="21" fillId="7" borderId="1" xfId="6" applyFont="1" applyFill="1" applyBorder="1" applyAlignment="1" applyProtection="1">
      <alignment horizontal="right"/>
      <protection locked="0"/>
    </xf>
    <xf numFmtId="44" fontId="21" fillId="7" borderId="4" xfId="7" applyFont="1" applyFill="1" applyBorder="1" applyProtection="1">
      <protection locked="0"/>
    </xf>
    <xf numFmtId="0" fontId="19" fillId="0" borderId="13" xfId="0" applyFont="1" applyFill="1" applyBorder="1" applyProtection="1"/>
    <xf numFmtId="0" fontId="19" fillId="0" borderId="13" xfId="0" applyFont="1" applyFill="1" applyBorder="1" applyAlignment="1" applyProtection="1"/>
    <xf numFmtId="0" fontId="19" fillId="6" borderId="13" xfId="0" applyFont="1" applyFill="1" applyBorder="1" applyAlignment="1" applyProtection="1"/>
    <xf numFmtId="0" fontId="19" fillId="11" borderId="13" xfId="0" applyFont="1" applyFill="1" applyBorder="1" applyAlignment="1" applyProtection="1"/>
    <xf numFmtId="0" fontId="20" fillId="0" borderId="5" xfId="0" applyFont="1" applyFill="1" applyBorder="1" applyAlignment="1" applyProtection="1">
      <alignment vertical="center"/>
    </xf>
    <xf numFmtId="0" fontId="18" fillId="0" borderId="6" xfId="0" applyFont="1" applyFill="1" applyBorder="1" applyAlignment="1" applyProtection="1">
      <alignment vertical="center"/>
    </xf>
    <xf numFmtId="0" fontId="20" fillId="0" borderId="6" xfId="0" applyFont="1" applyFill="1" applyBorder="1" applyAlignment="1" applyProtection="1">
      <alignment vertical="center"/>
    </xf>
    <xf numFmtId="0" fontId="20" fillId="0" borderId="7" xfId="0" applyFont="1" applyFill="1" applyBorder="1" applyAlignment="1" applyProtection="1">
      <alignment vertical="center"/>
    </xf>
    <xf numFmtId="0" fontId="20" fillId="0" borderId="33" xfId="0" applyFont="1" applyFill="1" applyBorder="1" applyAlignment="1" applyProtection="1">
      <alignment vertical="center"/>
    </xf>
    <xf numFmtId="0" fontId="20" fillId="0" borderId="20" xfId="1" applyFont="1" applyFill="1" applyBorder="1" applyProtection="1"/>
    <xf numFmtId="0" fontId="20" fillId="0" borderId="20" xfId="0" applyFont="1" applyFill="1" applyBorder="1" applyProtection="1"/>
    <xf numFmtId="0" fontId="20" fillId="0" borderId="33" xfId="0" quotePrefix="1" applyFont="1" applyFill="1" applyBorder="1" applyAlignment="1" applyProtection="1">
      <alignment vertical="center"/>
    </xf>
    <xf numFmtId="0" fontId="20" fillId="0" borderId="33" xfId="0" applyFont="1" applyFill="1" applyBorder="1" applyProtection="1"/>
    <xf numFmtId="44" fontId="20" fillId="0" borderId="20" xfId="7" applyFont="1" applyFill="1" applyBorder="1" applyAlignment="1" applyProtection="1">
      <alignment horizontal="right" indent="3"/>
    </xf>
    <xf numFmtId="0" fontId="18" fillId="0" borderId="33" xfId="0" applyFont="1" applyFill="1" applyBorder="1" applyAlignment="1" applyProtection="1">
      <alignment horizontal="left" vertical="center"/>
    </xf>
    <xf numFmtId="0" fontId="20" fillId="0" borderId="33" xfId="0" applyFont="1" applyFill="1" applyBorder="1" applyAlignment="1" applyProtection="1">
      <alignment horizontal="center" vertical="center"/>
    </xf>
    <xf numFmtId="0" fontId="20" fillId="0" borderId="20" xfId="0" applyFont="1" applyFill="1" applyBorder="1" applyAlignment="1" applyProtection="1">
      <alignment horizontal="left"/>
    </xf>
    <xf numFmtId="0" fontId="20" fillId="0" borderId="21" xfId="0" applyFont="1" applyFill="1" applyBorder="1" applyProtection="1"/>
    <xf numFmtId="0" fontId="0" fillId="0" borderId="19" xfId="0" applyFont="1" applyFill="1" applyBorder="1" applyProtection="1"/>
    <xf numFmtId="0" fontId="15" fillId="0" borderId="13" xfId="0" applyFont="1" applyFill="1" applyBorder="1" applyAlignment="1" applyProtection="1">
      <alignment horizontal="left"/>
    </xf>
    <xf numFmtId="0" fontId="14" fillId="0" borderId="13" xfId="0" applyFont="1" applyFill="1" applyBorder="1" applyAlignment="1" applyProtection="1">
      <alignment horizontal="left" indent="1"/>
    </xf>
    <xf numFmtId="0" fontId="18" fillId="11" borderId="13" xfId="0" applyFont="1" applyFill="1" applyBorder="1" applyAlignment="1" applyProtection="1">
      <alignment horizontal="left"/>
    </xf>
    <xf numFmtId="0" fontId="18" fillId="6" borderId="13" xfId="0" applyFont="1" applyFill="1" applyBorder="1" applyAlignment="1" applyProtection="1">
      <alignment horizontal="left"/>
    </xf>
    <xf numFmtId="0" fontId="18" fillId="0" borderId="14" xfId="0" applyFont="1" applyFill="1" applyBorder="1" applyAlignment="1" applyProtection="1">
      <alignment horizontal="left"/>
    </xf>
    <xf numFmtId="0" fontId="15" fillId="0" borderId="13" xfId="0" applyFont="1" applyBorder="1" applyProtection="1"/>
    <xf numFmtId="0" fontId="32" fillId="6" borderId="13" xfId="0" applyFont="1" applyFill="1" applyBorder="1" applyAlignment="1" applyProtection="1">
      <alignment horizontal="left"/>
    </xf>
    <xf numFmtId="0" fontId="19" fillId="0" borderId="13" xfId="0" applyFont="1" applyFill="1" applyBorder="1" applyAlignment="1" applyProtection="1">
      <alignment horizontal="left" indent="1"/>
    </xf>
    <xf numFmtId="0" fontId="15" fillId="0" borderId="13" xfId="0" applyFont="1" applyFill="1" applyBorder="1" applyAlignment="1" applyProtection="1">
      <alignment horizontal="left" indent="1"/>
    </xf>
    <xf numFmtId="0" fontId="32" fillId="11" borderId="13" xfId="0" applyFont="1" applyFill="1" applyBorder="1" applyAlignment="1" applyProtection="1">
      <alignment horizontal="left"/>
    </xf>
    <xf numFmtId="0" fontId="47" fillId="0" borderId="0" xfId="0" applyFont="1" applyFill="1" applyBorder="1" applyAlignment="1" applyProtection="1">
      <alignment horizontal="left"/>
    </xf>
    <xf numFmtId="0" fontId="48" fillId="0" borderId="0" xfId="1" applyFont="1" applyFill="1" applyBorder="1" applyAlignment="1" applyProtection="1">
      <alignment horizontal="left"/>
    </xf>
    <xf numFmtId="0" fontId="49" fillId="0" borderId="0" xfId="1" applyFont="1" applyFill="1" applyBorder="1" applyProtection="1"/>
    <xf numFmtId="0" fontId="0" fillId="0" borderId="0" xfId="0" applyFont="1" applyFill="1" applyBorder="1" applyAlignment="1" applyProtection="1">
      <alignment horizontal="left" indent="1"/>
    </xf>
    <xf numFmtId="0" fontId="40" fillId="0" borderId="0" xfId="0" applyFont="1" applyFill="1" applyBorder="1" applyAlignment="1" applyProtection="1">
      <alignment horizontal="center"/>
    </xf>
    <xf numFmtId="0" fontId="51" fillId="0" borderId="0" xfId="0" applyFont="1" applyFill="1" applyBorder="1" applyAlignment="1" applyProtection="1">
      <alignment horizontal="center"/>
    </xf>
    <xf numFmtId="9" fontId="40" fillId="0" borderId="0" xfId="6" applyFont="1" applyFill="1" applyBorder="1" applyAlignment="1" applyProtection="1">
      <alignment horizontal="center"/>
    </xf>
    <xf numFmtId="0" fontId="18" fillId="0" borderId="13" xfId="0" applyFont="1" applyFill="1" applyBorder="1" applyAlignment="1" applyProtection="1">
      <alignment vertical="center"/>
    </xf>
    <xf numFmtId="0" fontId="40" fillId="0" borderId="13" xfId="0" applyFont="1" applyFill="1" applyBorder="1" applyAlignment="1" applyProtection="1">
      <alignment horizontal="center" vertical="center"/>
    </xf>
    <xf numFmtId="9" fontId="21" fillId="13" borderId="1" xfId="6" applyFont="1" applyFill="1" applyBorder="1" applyAlignment="1" applyProtection="1">
      <alignment horizontal="right"/>
      <protection locked="0"/>
    </xf>
    <xf numFmtId="0" fontId="18" fillId="0" borderId="0" xfId="0" applyFont="1" applyFill="1" applyBorder="1" applyAlignment="1" applyProtection="1">
      <alignment horizontal="left" vertical="center"/>
    </xf>
    <xf numFmtId="0" fontId="13" fillId="0" borderId="0" xfId="0" applyFont="1" applyFill="1" applyBorder="1" applyProtection="1"/>
    <xf numFmtId="0" fontId="16" fillId="0" borderId="7" xfId="0" applyFont="1" applyFill="1" applyBorder="1" applyAlignment="1" applyProtection="1">
      <alignment horizontal="center"/>
    </xf>
    <xf numFmtId="0" fontId="38" fillId="0" borderId="6" xfId="0" applyFont="1" applyBorder="1" applyAlignment="1" applyProtection="1">
      <alignment horizontal="left" indent="1"/>
    </xf>
    <xf numFmtId="0" fontId="17" fillId="15" borderId="1" xfId="0" applyFont="1" applyFill="1" applyBorder="1" applyAlignment="1" applyProtection="1">
      <alignment horizontal="center" vertical="center"/>
    </xf>
    <xf numFmtId="0" fontId="50" fillId="0" borderId="14" xfId="0" applyFont="1" applyBorder="1" applyAlignment="1" applyProtection="1"/>
    <xf numFmtId="0" fontId="19" fillId="0" borderId="37" xfId="1" applyFont="1" applyFill="1" applyBorder="1" applyAlignment="1" applyProtection="1">
      <alignment horizontal="center"/>
    </xf>
    <xf numFmtId="0" fontId="19" fillId="0" borderId="0" xfId="1" applyFont="1" applyFill="1" applyBorder="1" applyAlignment="1" applyProtection="1">
      <alignment horizontal="center"/>
    </xf>
    <xf numFmtId="0" fontId="13" fillId="0" borderId="0" xfId="1" applyFont="1" applyFill="1" applyBorder="1" applyAlignment="1" applyProtection="1">
      <alignment horizontal="left" indent="2"/>
    </xf>
    <xf numFmtId="0" fontId="13" fillId="0" borderId="13" xfId="0" applyFont="1" applyFill="1" applyBorder="1" applyAlignment="1" applyProtection="1">
      <alignment horizontal="center"/>
    </xf>
    <xf numFmtId="0" fontId="19" fillId="0" borderId="19" xfId="1" applyFont="1" applyFill="1" applyBorder="1" applyAlignment="1" applyProtection="1">
      <alignment horizontal="left" indent="1"/>
    </xf>
    <xf numFmtId="0" fontId="13" fillId="0" borderId="0" xfId="0" applyFont="1" applyFill="1" applyBorder="1" applyProtection="1"/>
    <xf numFmtId="0" fontId="15" fillId="0" borderId="0" xfId="1" applyFont="1" applyFill="1" applyBorder="1" applyAlignment="1" applyProtection="1">
      <alignment horizontal="right"/>
    </xf>
    <xf numFmtId="0" fontId="10" fillId="0" borderId="0" xfId="1" applyFont="1" applyFill="1" applyBorder="1" applyAlignment="1" applyProtection="1">
      <alignment horizontal="right"/>
    </xf>
    <xf numFmtId="0" fontId="13" fillId="0" borderId="0" xfId="0" applyFont="1" applyFill="1" applyBorder="1" applyAlignment="1" applyProtection="1">
      <alignment horizontal="left" indent="3"/>
    </xf>
    <xf numFmtId="0" fontId="13" fillId="0" borderId="0" xfId="1" applyFont="1" applyFill="1" applyBorder="1" applyAlignment="1" applyProtection="1">
      <alignment horizontal="left" indent="3"/>
    </xf>
    <xf numFmtId="0" fontId="13" fillId="0" borderId="13" xfId="1" applyFont="1" applyFill="1" applyBorder="1" applyAlignment="1" applyProtection="1">
      <alignment horizontal="center"/>
    </xf>
    <xf numFmtId="0" fontId="19" fillId="0" borderId="19" xfId="1" applyFont="1" applyFill="1" applyBorder="1" applyAlignment="1" applyProtection="1">
      <alignment horizontal="center"/>
    </xf>
    <xf numFmtId="0" fontId="13" fillId="0" borderId="0" xfId="1" applyFont="1" applyFill="1" applyBorder="1" applyAlignment="1" applyProtection="1">
      <alignment horizontal="center"/>
    </xf>
    <xf numFmtId="0" fontId="19" fillId="0" borderId="0" xfId="0" applyFont="1" applyFill="1" applyBorder="1" applyAlignment="1" applyProtection="1">
      <alignment horizontal="left"/>
    </xf>
    <xf numFmtId="0" fontId="13" fillId="0" borderId="13" xfId="1" applyFont="1" applyFill="1" applyBorder="1" applyAlignment="1" applyProtection="1">
      <alignment horizontal="left" indent="3"/>
    </xf>
    <xf numFmtId="2" fontId="0" fillId="0" borderId="0" xfId="0" applyNumberFormat="1" applyFont="1" applyBorder="1" applyProtection="1"/>
    <xf numFmtId="10" fontId="20" fillId="0" borderId="0" xfId="6" applyNumberFormat="1" applyFont="1" applyFill="1" applyBorder="1" applyAlignment="1" applyProtection="1">
      <alignment horizontal="right"/>
      <protection locked="0"/>
    </xf>
    <xf numFmtId="44" fontId="0" fillId="0" borderId="0" xfId="0" applyNumberFormat="1" applyFont="1" applyFill="1" applyBorder="1" applyProtection="1"/>
    <xf numFmtId="0" fontId="54" fillId="0" borderId="0" xfId="1" applyFont="1" applyFill="1" applyBorder="1" applyAlignment="1" applyProtection="1">
      <alignment horizontal="center"/>
    </xf>
    <xf numFmtId="0" fontId="54" fillId="7" borderId="1" xfId="1" applyFont="1" applyFill="1" applyBorder="1" applyAlignment="1" applyProtection="1">
      <alignment horizontal="center"/>
    </xf>
    <xf numFmtId="0" fontId="54" fillId="7" borderId="4" xfId="1" applyFont="1" applyFill="1" applyBorder="1" applyAlignment="1" applyProtection="1">
      <alignment horizontal="center"/>
    </xf>
    <xf numFmtId="0" fontId="13" fillId="0" borderId="13" xfId="0" applyFont="1" applyFill="1" applyBorder="1" applyProtection="1"/>
    <xf numFmtId="8" fontId="13" fillId="0" borderId="37" xfId="1" applyNumberFormat="1" applyFont="1" applyFill="1" applyBorder="1" applyAlignment="1" applyProtection="1">
      <alignment horizontal="right" indent="2"/>
    </xf>
    <xf numFmtId="8" fontId="13" fillId="0" borderId="36" xfId="0" applyNumberFormat="1" applyFont="1" applyFill="1" applyBorder="1" applyAlignment="1" applyProtection="1">
      <alignment horizontal="right" indent="2"/>
    </xf>
    <xf numFmtId="8" fontId="13" fillId="0" borderId="37" xfId="0" applyNumberFormat="1" applyFont="1" applyFill="1" applyBorder="1" applyAlignment="1" applyProtection="1">
      <alignment horizontal="right" indent="2"/>
    </xf>
    <xf numFmtId="0" fontId="43" fillId="0" borderId="0" xfId="0" applyFont="1" applyBorder="1" applyAlignment="1"/>
    <xf numFmtId="0" fontId="43" fillId="0" borderId="0" xfId="0" applyFont="1" applyFill="1" applyBorder="1" applyAlignment="1"/>
    <xf numFmtId="0" fontId="43" fillId="0" borderId="0" xfId="0" applyFont="1" applyFill="1" applyBorder="1" applyProtection="1"/>
    <xf numFmtId="0" fontId="44" fillId="0" borderId="0" xfId="0" applyNumberFormat="1" applyFont="1" applyBorder="1" applyAlignment="1">
      <alignment horizontal="left" indent="2"/>
    </xf>
    <xf numFmtId="0" fontId="35" fillId="0" borderId="0" xfId="0" applyFont="1" applyBorder="1" applyAlignment="1">
      <alignment wrapText="1"/>
    </xf>
    <xf numFmtId="0" fontId="35" fillId="0" borderId="0" xfId="0" applyFont="1" applyFill="1" applyBorder="1" applyAlignment="1">
      <alignment wrapText="1"/>
    </xf>
    <xf numFmtId="0" fontId="40" fillId="0" borderId="0" xfId="0" applyNumberFormat="1" applyFont="1" applyBorder="1" applyAlignment="1">
      <alignment horizontal="left" indent="2"/>
    </xf>
    <xf numFmtId="0" fontId="16" fillId="0" borderId="0" xfId="1" applyFont="1" applyFill="1" applyBorder="1" applyAlignment="1" applyProtection="1">
      <alignment vertical="center"/>
    </xf>
    <xf numFmtId="0" fontId="10" fillId="0" borderId="0" xfId="0" applyFont="1" applyFill="1" applyBorder="1" applyAlignment="1" applyProtection="1">
      <alignment horizontal="right"/>
    </xf>
    <xf numFmtId="0" fontId="10" fillId="0" borderId="0" xfId="0" applyFont="1" applyFill="1" applyBorder="1" applyAlignment="1" applyProtection="1">
      <alignment horizontal="center"/>
    </xf>
    <xf numFmtId="8" fontId="13" fillId="0" borderId="0" xfId="1" applyNumberFormat="1" applyFont="1" applyFill="1" applyBorder="1" applyAlignment="1" applyProtection="1">
      <alignment horizontal="right" indent="2"/>
    </xf>
    <xf numFmtId="8" fontId="13" fillId="0" borderId="0" xfId="0" applyNumberFormat="1" applyFont="1" applyFill="1" applyBorder="1" applyAlignment="1" applyProtection="1">
      <alignment horizontal="right" indent="2"/>
    </xf>
    <xf numFmtId="8" fontId="19" fillId="0" borderId="0" xfId="7" applyNumberFormat="1" applyFont="1" applyFill="1" applyBorder="1" applyAlignment="1" applyProtection="1">
      <alignment horizontal="right" indent="2"/>
    </xf>
    <xf numFmtId="0" fontId="26" fillId="0" borderId="0" xfId="0" applyFont="1" applyFill="1" applyBorder="1" applyAlignment="1" applyProtection="1">
      <alignment horizontal="left" indent="1"/>
    </xf>
    <xf numFmtId="0" fontId="26" fillId="0" borderId="0" xfId="0" applyFont="1" applyFill="1" applyBorder="1" applyAlignment="1" applyProtection="1"/>
    <xf numFmtId="8" fontId="26" fillId="0" borderId="0" xfId="7" applyNumberFormat="1" applyFont="1" applyFill="1" applyBorder="1" applyAlignment="1" applyProtection="1">
      <alignment horizontal="right" indent="2"/>
    </xf>
    <xf numFmtId="0" fontId="10" fillId="0" borderId="37" xfId="0" applyFont="1" applyFill="1" applyBorder="1" applyAlignment="1" applyProtection="1">
      <alignment horizontal="center"/>
    </xf>
    <xf numFmtId="8" fontId="19" fillId="0" borderId="37" xfId="7" applyNumberFormat="1" applyFont="1" applyFill="1" applyBorder="1" applyAlignment="1" applyProtection="1">
      <alignment horizontal="right" indent="2"/>
    </xf>
    <xf numFmtId="8" fontId="26" fillId="0" borderId="13" xfId="7" applyNumberFormat="1" applyFont="1" applyFill="1" applyBorder="1" applyAlignment="1" applyProtection="1">
      <alignment horizontal="right" indent="2"/>
    </xf>
    <xf numFmtId="8" fontId="19" fillId="0" borderId="19" xfId="7" applyNumberFormat="1" applyFont="1" applyFill="1" applyBorder="1" applyAlignment="1" applyProtection="1">
      <alignment horizontal="right" indent="2"/>
    </xf>
    <xf numFmtId="8" fontId="26" fillId="0" borderId="37" xfId="7" applyNumberFormat="1" applyFont="1" applyFill="1" applyBorder="1" applyAlignment="1" applyProtection="1">
      <alignment horizontal="right" indent="2"/>
    </xf>
    <xf numFmtId="0" fontId="15" fillId="0" borderId="37" xfId="1" applyFont="1" applyFill="1" applyBorder="1" applyAlignment="1" applyProtection="1">
      <alignment horizontal="right"/>
    </xf>
    <xf numFmtId="0" fontId="10" fillId="0" borderId="37" xfId="1" applyFont="1" applyFill="1" applyBorder="1" applyAlignment="1" applyProtection="1">
      <alignment horizontal="right"/>
    </xf>
    <xf numFmtId="0" fontId="10" fillId="0" borderId="37" xfId="0" applyFont="1" applyFill="1" applyBorder="1" applyAlignment="1" applyProtection="1">
      <alignment horizontal="right"/>
    </xf>
    <xf numFmtId="0" fontId="13" fillId="0" borderId="37" xfId="1" applyFont="1" applyFill="1" applyBorder="1" applyAlignment="1" applyProtection="1">
      <alignment horizontal="center"/>
    </xf>
    <xf numFmtId="0" fontId="26" fillId="0" borderId="37" xfId="0" applyFont="1" applyFill="1" applyBorder="1" applyAlignment="1" applyProtection="1"/>
    <xf numFmtId="0" fontId="13" fillId="0" borderId="5" xfId="0" applyFont="1" applyFill="1" applyBorder="1" applyProtection="1"/>
    <xf numFmtId="0" fontId="16" fillId="0" borderId="6" xfId="1" applyFont="1" applyFill="1" applyBorder="1" applyAlignment="1" applyProtection="1">
      <alignment vertical="center"/>
    </xf>
    <xf numFmtId="0" fontId="25" fillId="0" borderId="6" xfId="1" applyFont="1" applyFill="1" applyBorder="1" applyAlignment="1" applyProtection="1">
      <alignment vertical="center"/>
    </xf>
    <xf numFmtId="0" fontId="25" fillId="0" borderId="7" xfId="1" applyFont="1" applyFill="1" applyBorder="1" applyAlignment="1" applyProtection="1">
      <alignment vertical="center"/>
    </xf>
    <xf numFmtId="0" fontId="13" fillId="0" borderId="20" xfId="0" applyFont="1" applyFill="1" applyBorder="1" applyProtection="1"/>
    <xf numFmtId="0" fontId="19" fillId="0" borderId="33" xfId="1" applyFont="1" applyFill="1" applyBorder="1" applyAlignment="1" applyProtection="1"/>
    <xf numFmtId="0" fontId="13" fillId="0" borderId="33" xfId="0" applyFont="1" applyFill="1" applyBorder="1" applyAlignment="1" applyProtection="1"/>
    <xf numFmtId="0" fontId="13" fillId="0" borderId="33" xfId="0" applyFont="1" applyFill="1" applyBorder="1" applyAlignment="1" applyProtection="1">
      <alignment horizontal="center"/>
    </xf>
    <xf numFmtId="0" fontId="13" fillId="0" borderId="33" xfId="1" applyFont="1" applyFill="1" applyBorder="1" applyAlignment="1" applyProtection="1">
      <alignment horizontal="center"/>
    </xf>
    <xf numFmtId="44" fontId="13" fillId="0" borderId="33" xfId="1" applyNumberFormat="1" applyFont="1" applyFill="1" applyBorder="1" applyAlignment="1" applyProtection="1">
      <alignment horizontal="center"/>
    </xf>
    <xf numFmtId="44" fontId="13" fillId="0" borderId="33" xfId="0" applyNumberFormat="1" applyFont="1" applyFill="1" applyBorder="1" applyProtection="1"/>
    <xf numFmtId="0" fontId="13" fillId="0" borderId="33" xfId="0" applyFont="1" applyFill="1" applyBorder="1" applyProtection="1"/>
    <xf numFmtId="164" fontId="19" fillId="0" borderId="33" xfId="1" applyNumberFormat="1" applyFont="1" applyFill="1" applyBorder="1" applyAlignment="1" applyProtection="1">
      <alignment horizontal="center"/>
    </xf>
    <xf numFmtId="164" fontId="26" fillId="0" borderId="33" xfId="0" applyNumberFormat="1" applyFont="1" applyFill="1" applyBorder="1" applyAlignment="1" applyProtection="1">
      <alignment horizontal="center"/>
    </xf>
    <xf numFmtId="0" fontId="13" fillId="0" borderId="21" xfId="0" applyFont="1" applyFill="1" applyBorder="1" applyProtection="1"/>
    <xf numFmtId="0" fontId="13" fillId="0" borderId="18" xfId="0" applyFont="1" applyFill="1" applyBorder="1" applyProtection="1"/>
    <xf numFmtId="0" fontId="14" fillId="0" borderId="37" xfId="0" applyFont="1" applyFill="1" applyBorder="1" applyAlignment="1" applyProtection="1">
      <alignment horizontal="left"/>
    </xf>
    <xf numFmtId="4" fontId="20" fillId="0" borderId="37" xfId="0" applyNumberFormat="1" applyFont="1" applyFill="1" applyBorder="1" applyAlignment="1" applyProtection="1">
      <alignment horizontal="left"/>
    </xf>
    <xf numFmtId="4" fontId="23" fillId="0" borderId="37" xfId="0" applyNumberFormat="1" applyFont="1" applyFill="1" applyBorder="1" applyAlignment="1" applyProtection="1">
      <alignment horizontal="right"/>
    </xf>
    <xf numFmtId="44" fontId="20" fillId="0" borderId="37" xfId="7" applyFont="1" applyFill="1" applyBorder="1" applyAlignment="1" applyProtection="1">
      <alignment horizontal="right"/>
    </xf>
    <xf numFmtId="44" fontId="23" fillId="0" borderId="37" xfId="7" applyFont="1" applyFill="1" applyBorder="1" applyAlignment="1" applyProtection="1">
      <alignment horizontal="right"/>
    </xf>
    <xf numFmtId="0" fontId="18" fillId="0" borderId="37" xfId="0" applyFont="1" applyFill="1" applyBorder="1" applyAlignment="1" applyProtection="1">
      <alignment horizontal="left"/>
    </xf>
    <xf numFmtId="44" fontId="21" fillId="0" borderId="37" xfId="7" applyFont="1" applyFill="1" applyBorder="1" applyAlignment="1" applyProtection="1">
      <alignment horizontal="right"/>
      <protection locked="0"/>
    </xf>
    <xf numFmtId="3" fontId="21" fillId="0" borderId="37" xfId="0" applyNumberFormat="1" applyFont="1" applyFill="1" applyBorder="1" applyProtection="1">
      <protection locked="0"/>
    </xf>
    <xf numFmtId="44" fontId="21" fillId="0" borderId="37" xfId="7" applyFont="1" applyFill="1" applyBorder="1" applyProtection="1">
      <protection locked="0"/>
    </xf>
    <xf numFmtId="0" fontId="24" fillId="0" borderId="37" xfId="0" applyFont="1" applyFill="1" applyBorder="1" applyAlignment="1" applyProtection="1">
      <alignment horizontal="left" vertical="center"/>
    </xf>
    <xf numFmtId="0" fontId="0" fillId="0" borderId="37" xfId="0" applyFont="1" applyFill="1" applyBorder="1" applyProtection="1"/>
    <xf numFmtId="8" fontId="13" fillId="0" borderId="0" xfId="7" applyNumberFormat="1" applyFont="1" applyFill="1" applyBorder="1" applyAlignment="1" applyProtection="1">
      <alignment horizontal="right" indent="2"/>
    </xf>
    <xf numFmtId="8" fontId="13" fillId="0" borderId="13" xfId="7" applyNumberFormat="1" applyFont="1" applyFill="1" applyBorder="1" applyAlignment="1" applyProtection="1">
      <alignment horizontal="right" indent="2"/>
    </xf>
    <xf numFmtId="8" fontId="13" fillId="0" borderId="37" xfId="7" applyNumberFormat="1" applyFont="1" applyFill="1" applyBorder="1" applyAlignment="1" applyProtection="1">
      <alignment horizontal="right" indent="2"/>
    </xf>
    <xf numFmtId="8" fontId="13" fillId="0" borderId="19" xfId="0" applyNumberFormat="1" applyFont="1" applyFill="1" applyBorder="1" applyAlignment="1" applyProtection="1">
      <alignment horizontal="right" indent="2"/>
    </xf>
    <xf numFmtId="0" fontId="19" fillId="0" borderId="0" xfId="0" applyFont="1" applyFill="1" applyBorder="1" applyAlignment="1" applyProtection="1">
      <alignment horizontal="center"/>
    </xf>
    <xf numFmtId="0" fontId="19" fillId="0" borderId="0" xfId="0" applyFont="1" applyFill="1" applyBorder="1" applyAlignment="1" applyProtection="1">
      <alignment horizontal="right"/>
    </xf>
    <xf numFmtId="8" fontId="13" fillId="0" borderId="39" xfId="0" applyNumberFormat="1" applyFont="1" applyFill="1" applyBorder="1" applyAlignment="1" applyProtection="1">
      <alignment horizontal="right" indent="2"/>
    </xf>
    <xf numFmtId="8" fontId="13" fillId="0" borderId="41" xfId="0" applyNumberFormat="1" applyFont="1" applyFill="1" applyBorder="1" applyAlignment="1" applyProtection="1">
      <alignment horizontal="right" indent="2"/>
    </xf>
    <xf numFmtId="8" fontId="13" fillId="0" borderId="35" xfId="0" applyNumberFormat="1" applyFont="1" applyFill="1" applyBorder="1" applyAlignment="1" applyProtection="1">
      <alignment horizontal="right" indent="2"/>
    </xf>
    <xf numFmtId="8" fontId="13" fillId="0" borderId="12" xfId="0" applyNumberFormat="1" applyFont="1" applyFill="1" applyBorder="1" applyAlignment="1" applyProtection="1">
      <alignment horizontal="right" indent="2"/>
    </xf>
    <xf numFmtId="8" fontId="13" fillId="0" borderId="13" xfId="0" applyNumberFormat="1" applyFont="1" applyFill="1" applyBorder="1" applyAlignment="1" applyProtection="1">
      <alignment horizontal="right" indent="2"/>
    </xf>
    <xf numFmtId="8" fontId="13" fillId="0" borderId="14" xfId="0" applyNumberFormat="1" applyFont="1" applyFill="1" applyBorder="1" applyAlignment="1" applyProtection="1">
      <alignment horizontal="right" indent="2"/>
    </xf>
    <xf numFmtId="44" fontId="13" fillId="0" borderId="0" xfId="7" applyNumberFormat="1" applyFont="1" applyFill="1" applyBorder="1" applyAlignment="1" applyProtection="1">
      <alignment horizontal="right" indent="2"/>
    </xf>
    <xf numFmtId="8" fontId="13" fillId="0" borderId="1" xfId="0" applyNumberFormat="1" applyFont="1" applyFill="1" applyBorder="1" applyAlignment="1" applyProtection="1">
      <alignment horizontal="right" indent="2"/>
    </xf>
    <xf numFmtId="0" fontId="19" fillId="0" borderId="6" xfId="0" applyFont="1" applyFill="1" applyBorder="1" applyAlignment="1" applyProtection="1">
      <alignment horizontal="left" indent="2"/>
    </xf>
    <xf numFmtId="0" fontId="13" fillId="0" borderId="6" xfId="0" applyFont="1" applyFill="1" applyBorder="1" applyProtection="1"/>
    <xf numFmtId="0" fontId="13" fillId="0" borderId="6" xfId="0" applyFont="1" applyFill="1" applyBorder="1" applyAlignment="1" applyProtection="1">
      <alignment horizontal="center"/>
    </xf>
    <xf numFmtId="0" fontId="13" fillId="0" borderId="7" xfId="0" applyFont="1" applyFill="1" applyBorder="1" applyAlignment="1" applyProtection="1">
      <alignment horizontal="center"/>
    </xf>
    <xf numFmtId="0" fontId="13" fillId="0" borderId="33" xfId="1" applyFont="1" applyFill="1" applyBorder="1" applyAlignment="1" applyProtection="1"/>
    <xf numFmtId="9" fontId="13" fillId="0" borderId="33" xfId="6" quotePrefix="1" applyFont="1" applyFill="1" applyBorder="1" applyAlignment="1" applyProtection="1">
      <alignment horizontal="center"/>
    </xf>
    <xf numFmtId="8" fontId="13" fillId="0" borderId="33" xfId="7" applyNumberFormat="1" applyFont="1" applyFill="1" applyBorder="1" applyAlignment="1" applyProtection="1">
      <alignment horizontal="center"/>
    </xf>
    <xf numFmtId="8" fontId="13" fillId="0" borderId="33" xfId="0" applyNumberFormat="1" applyFont="1" applyFill="1" applyBorder="1" applyAlignment="1" applyProtection="1">
      <alignment horizontal="center"/>
    </xf>
    <xf numFmtId="9" fontId="13" fillId="0" borderId="19" xfId="6" quotePrefix="1" applyFont="1" applyFill="1" applyBorder="1" applyAlignment="1" applyProtection="1">
      <alignment horizontal="right"/>
    </xf>
    <xf numFmtId="2" fontId="13" fillId="0" borderId="19" xfId="0" applyNumberFormat="1" applyFont="1" applyFill="1" applyBorder="1" applyProtection="1"/>
    <xf numFmtId="8" fontId="13" fillId="0" borderId="18" xfId="0" applyNumberFormat="1" applyFont="1" applyFill="1" applyBorder="1" applyAlignment="1" applyProtection="1">
      <alignment horizontal="center"/>
    </xf>
    <xf numFmtId="2" fontId="13" fillId="0" borderId="6" xfId="0" applyNumberFormat="1" applyFont="1" applyFill="1" applyBorder="1" applyProtection="1"/>
    <xf numFmtId="8" fontId="13" fillId="0" borderId="6" xfId="0" applyNumberFormat="1" applyFont="1" applyFill="1" applyBorder="1" applyAlignment="1" applyProtection="1">
      <alignment horizontal="center"/>
    </xf>
    <xf numFmtId="8" fontId="13" fillId="0" borderId="7" xfId="0" applyNumberFormat="1" applyFont="1" applyFill="1" applyBorder="1" applyAlignment="1" applyProtection="1">
      <alignment horizontal="center"/>
    </xf>
    <xf numFmtId="0" fontId="19" fillId="0" borderId="0" xfId="0" applyFont="1" applyFill="1" applyBorder="1" applyProtection="1"/>
    <xf numFmtId="0" fontId="32" fillId="0" borderId="0" xfId="1" applyFont="1" applyFill="1" applyBorder="1" applyAlignment="1" applyProtection="1">
      <alignment horizontal="left" indent="1"/>
    </xf>
    <xf numFmtId="44" fontId="19" fillId="0" borderId="0" xfId="7" applyNumberFormat="1" applyFont="1" applyFill="1" applyBorder="1" applyAlignment="1" applyProtection="1">
      <alignment horizontal="center"/>
    </xf>
    <xf numFmtId="0" fontId="19" fillId="0" borderId="0" xfId="1" applyFont="1" applyFill="1" applyBorder="1" applyAlignment="1" applyProtection="1">
      <alignment horizontal="left" vertical="center" wrapText="1" indent="1"/>
    </xf>
    <xf numFmtId="0" fontId="19" fillId="0" borderId="0" xfId="1" applyFont="1" applyFill="1" applyBorder="1" applyAlignment="1" applyProtection="1">
      <alignment horizontal="center" vertical="center" wrapText="1"/>
    </xf>
    <xf numFmtId="0" fontId="28" fillId="0" borderId="0" xfId="1" applyFont="1" applyFill="1" applyBorder="1" applyAlignment="1" applyProtection="1">
      <alignment horizontal="right"/>
    </xf>
    <xf numFmtId="8" fontId="28" fillId="0" borderId="0" xfId="1" applyNumberFormat="1" applyFont="1" applyFill="1" applyBorder="1" applyAlignment="1" applyProtection="1">
      <alignment horizontal="right" indent="2"/>
    </xf>
    <xf numFmtId="8" fontId="28" fillId="0" borderId="0" xfId="0" applyNumberFormat="1" applyFont="1" applyFill="1" applyBorder="1" applyAlignment="1" applyProtection="1">
      <alignment horizontal="right" indent="2"/>
    </xf>
    <xf numFmtId="0" fontId="26" fillId="0" borderId="13" xfId="1" applyFont="1" applyFill="1" applyBorder="1" applyAlignment="1" applyProtection="1">
      <alignment horizontal="left" indent="2"/>
    </xf>
    <xf numFmtId="0" fontId="32" fillId="0" borderId="29" xfId="1" applyFont="1" applyFill="1" applyBorder="1" applyAlignment="1" applyProtection="1">
      <alignment horizontal="left" indent="1"/>
    </xf>
    <xf numFmtId="0" fontId="19" fillId="0" borderId="29" xfId="1" applyFont="1" applyFill="1" applyBorder="1" applyAlignment="1" applyProtection="1">
      <alignment horizontal="left" indent="1"/>
    </xf>
    <xf numFmtId="0" fontId="19" fillId="0" borderId="29" xfId="1" applyFont="1" applyFill="1" applyBorder="1" applyAlignment="1" applyProtection="1"/>
    <xf numFmtId="8" fontId="19" fillId="0" borderId="29" xfId="7" applyNumberFormat="1" applyFont="1" applyFill="1" applyBorder="1" applyAlignment="1" applyProtection="1">
      <alignment horizontal="right" indent="2"/>
    </xf>
    <xf numFmtId="0" fontId="13" fillId="0" borderId="7" xfId="0" applyFont="1" applyFill="1" applyBorder="1" applyProtection="1"/>
    <xf numFmtId="44" fontId="13" fillId="0" borderId="20" xfId="7" applyFont="1" applyFill="1" applyBorder="1" applyAlignment="1" applyProtection="1">
      <alignment horizontal="center"/>
    </xf>
    <xf numFmtId="0" fontId="19" fillId="0" borderId="33" xfId="1" applyFont="1" applyFill="1" applyBorder="1" applyAlignment="1" applyProtection="1">
      <alignment horizontal="center"/>
    </xf>
    <xf numFmtId="44" fontId="13" fillId="0" borderId="33" xfId="7" applyFont="1" applyFill="1" applyBorder="1" applyAlignment="1" applyProtection="1">
      <alignment horizontal="center"/>
    </xf>
    <xf numFmtId="44" fontId="19" fillId="0" borderId="33" xfId="7" applyFont="1" applyFill="1" applyBorder="1" applyAlignment="1" applyProtection="1">
      <alignment horizontal="center"/>
    </xf>
    <xf numFmtId="44" fontId="19" fillId="0" borderId="18" xfId="7" applyFont="1" applyFill="1" applyBorder="1" applyAlignment="1" applyProtection="1">
      <alignment horizontal="center"/>
    </xf>
    <xf numFmtId="0" fontId="19" fillId="0" borderId="37" xfId="1" applyFont="1" applyFill="1" applyBorder="1" applyAlignment="1" applyProtection="1">
      <alignment horizontal="right"/>
    </xf>
    <xf numFmtId="0" fontId="13" fillId="0" borderId="37" xfId="0" applyFont="1" applyFill="1" applyBorder="1" applyAlignment="1" applyProtection="1">
      <alignment horizontal="right"/>
    </xf>
    <xf numFmtId="0" fontId="19" fillId="0" borderId="33" xfId="1" applyFont="1" applyFill="1" applyBorder="1" applyAlignment="1" applyProtection="1">
      <alignment vertical="center" wrapText="1"/>
    </xf>
    <xf numFmtId="4" fontId="13" fillId="0" borderId="33" xfId="1" applyNumberFormat="1" applyFont="1" applyFill="1" applyBorder="1" applyProtection="1"/>
    <xf numFmtId="164" fontId="19" fillId="0" borderId="33" xfId="1" applyNumberFormat="1" applyFont="1" applyFill="1" applyBorder="1" applyProtection="1"/>
    <xf numFmtId="0" fontId="16" fillId="0" borderId="6" xfId="0" applyFont="1" applyFill="1" applyBorder="1" applyAlignment="1" applyProtection="1">
      <alignment vertical="center"/>
    </xf>
    <xf numFmtId="8" fontId="25" fillId="0" borderId="6" xfId="0" applyNumberFormat="1" applyFont="1" applyFill="1" applyBorder="1" applyAlignment="1" applyProtection="1">
      <alignment horizontal="right" vertical="center" indent="2"/>
    </xf>
    <xf numFmtId="0" fontId="25" fillId="0" borderId="7" xfId="0" applyFont="1" applyFill="1" applyBorder="1" applyAlignment="1" applyProtection="1">
      <alignment vertical="center"/>
    </xf>
    <xf numFmtId="8" fontId="27" fillId="0" borderId="33" xfId="1" applyNumberFormat="1" applyFont="1" applyFill="1" applyBorder="1" applyAlignment="1" applyProtection="1">
      <alignment horizontal="center"/>
    </xf>
    <xf numFmtId="0" fontId="19" fillId="0" borderId="19" xfId="0" applyFont="1" applyFill="1" applyBorder="1" applyAlignment="1" applyProtection="1"/>
    <xf numFmtId="8" fontId="28" fillId="0" borderId="19" xfId="0" applyNumberFormat="1" applyFont="1" applyFill="1" applyBorder="1" applyAlignment="1" applyProtection="1">
      <alignment horizontal="right" indent="2"/>
    </xf>
    <xf numFmtId="0" fontId="27" fillId="0" borderId="19" xfId="1" applyFont="1" applyFill="1" applyBorder="1" applyAlignment="1" applyProtection="1"/>
    <xf numFmtId="0" fontId="28" fillId="0" borderId="19" xfId="1" applyFont="1" applyFill="1" applyBorder="1" applyAlignment="1" applyProtection="1">
      <alignment horizontal="right"/>
    </xf>
    <xf numFmtId="8" fontId="28" fillId="0" borderId="19" xfId="1" applyNumberFormat="1" applyFont="1" applyFill="1" applyBorder="1" applyAlignment="1" applyProtection="1">
      <alignment horizontal="right" indent="2"/>
    </xf>
    <xf numFmtId="0" fontId="19" fillId="0" borderId="13" xfId="1" applyFont="1" applyFill="1" applyBorder="1" applyAlignment="1" applyProtection="1">
      <alignment horizontal="left" indent="1"/>
    </xf>
    <xf numFmtId="0" fontId="19" fillId="0" borderId="13" xfId="1" applyFont="1" applyFill="1" applyBorder="1" applyAlignment="1" applyProtection="1"/>
    <xf numFmtId="6" fontId="29" fillId="0" borderId="33" xfId="0" applyNumberFormat="1" applyFont="1" applyFill="1" applyBorder="1" applyAlignment="1" applyProtection="1">
      <alignment horizontal="center"/>
    </xf>
    <xf numFmtId="6" fontId="29" fillId="0" borderId="18" xfId="0" applyNumberFormat="1" applyFont="1" applyFill="1" applyBorder="1" applyAlignment="1" applyProtection="1">
      <alignment horizontal="center"/>
    </xf>
    <xf numFmtId="0" fontId="16" fillId="0" borderId="13" xfId="0" applyFont="1" applyFill="1" applyBorder="1" applyAlignment="1" applyProtection="1">
      <alignment vertical="center"/>
    </xf>
    <xf numFmtId="8" fontId="28" fillId="0" borderId="13" xfId="0" applyNumberFormat="1" applyFont="1" applyFill="1" applyBorder="1" applyAlignment="1" applyProtection="1">
      <alignment horizontal="right" indent="2"/>
    </xf>
    <xf numFmtId="0" fontId="19" fillId="0" borderId="37" xfId="1" applyFont="1" applyFill="1" applyBorder="1" applyAlignment="1" applyProtection="1">
      <alignment horizontal="center" vertical="center" wrapText="1"/>
    </xf>
    <xf numFmtId="8" fontId="28" fillId="0" borderId="37" xfId="1" applyNumberFormat="1" applyFont="1" applyFill="1" applyBorder="1" applyAlignment="1" applyProtection="1">
      <alignment horizontal="right" indent="2"/>
    </xf>
    <xf numFmtId="8" fontId="25" fillId="0" borderId="40" xfId="0" applyNumberFormat="1" applyFont="1" applyFill="1" applyBorder="1" applyAlignment="1" applyProtection="1">
      <alignment horizontal="right" vertical="center" indent="2"/>
    </xf>
    <xf numFmtId="8" fontId="28" fillId="0" borderId="37" xfId="0" applyNumberFormat="1" applyFont="1" applyFill="1" applyBorder="1" applyAlignment="1" applyProtection="1">
      <alignment horizontal="right" indent="2"/>
    </xf>
    <xf numFmtId="2" fontId="13" fillId="0" borderId="37" xfId="1" applyNumberFormat="1" applyFont="1" applyFill="1" applyBorder="1" applyAlignment="1" applyProtection="1">
      <alignment horizontal="center"/>
    </xf>
    <xf numFmtId="0" fontId="28" fillId="0" borderId="37" xfId="1" applyFont="1" applyFill="1" applyBorder="1" applyAlignment="1" applyProtection="1">
      <alignment horizontal="right"/>
    </xf>
    <xf numFmtId="0" fontId="16" fillId="0" borderId="40" xfId="0" applyFont="1" applyFill="1" applyBorder="1" applyAlignment="1" applyProtection="1">
      <alignment vertical="center"/>
    </xf>
    <xf numFmtId="0" fontId="19" fillId="0" borderId="37" xfId="0" applyFont="1" applyFill="1" applyBorder="1" applyAlignment="1" applyProtection="1"/>
    <xf numFmtId="0" fontId="16" fillId="0" borderId="0" xfId="0" applyFont="1" applyFill="1" applyBorder="1" applyAlignment="1" applyProtection="1">
      <alignment horizontal="center" vertical="center"/>
    </xf>
    <xf numFmtId="0" fontId="14" fillId="0" borderId="37" xfId="1" applyFont="1" applyFill="1" applyBorder="1" applyAlignment="1" applyProtection="1">
      <alignment horizontal="left"/>
    </xf>
    <xf numFmtId="0" fontId="13" fillId="0" borderId="0" xfId="0" applyFont="1" applyFill="1" applyBorder="1" applyAlignment="1" applyProtection="1">
      <alignment horizontal="left" indent="2"/>
    </xf>
    <xf numFmtId="0" fontId="19" fillId="0" borderId="0" xfId="0" applyFont="1" applyFill="1" applyBorder="1" applyAlignment="1" applyProtection="1">
      <alignment horizontal="left" indent="1"/>
    </xf>
    <xf numFmtId="0" fontId="26" fillId="0" borderId="13" xfId="1" applyFont="1" applyFill="1" applyBorder="1" applyAlignment="1" applyProtection="1">
      <alignment horizontal="left" indent="1"/>
    </xf>
    <xf numFmtId="0" fontId="34" fillId="3" borderId="8" xfId="0" applyFont="1" applyFill="1" applyBorder="1" applyProtection="1">
      <protection locked="0"/>
    </xf>
    <xf numFmtId="3" fontId="10" fillId="3" borderId="1" xfId="0" applyNumberFormat="1" applyFont="1" applyFill="1" applyBorder="1"/>
    <xf numFmtId="3" fontId="10" fillId="3" borderId="41" xfId="0" applyNumberFormat="1" applyFont="1" applyFill="1" applyBorder="1"/>
    <xf numFmtId="0" fontId="0" fillId="0" borderId="13" xfId="0" applyFont="1" applyBorder="1" applyProtection="1"/>
    <xf numFmtId="0" fontId="37" fillId="0" borderId="0" xfId="1" applyFont="1" applyFill="1" applyBorder="1" applyAlignment="1" applyProtection="1">
      <alignment horizontal="left" indent="2"/>
    </xf>
    <xf numFmtId="0" fontId="37" fillId="0" borderId="0" xfId="0" applyFont="1" applyFill="1" applyBorder="1" applyAlignment="1" applyProtection="1">
      <alignment horizontal="left" indent="2"/>
    </xf>
    <xf numFmtId="0" fontId="10" fillId="14" borderId="0" xfId="0" applyFont="1" applyFill="1" applyAlignment="1">
      <alignment horizontal="left" vertical="center" wrapText="1" indent="1"/>
    </xf>
    <xf numFmtId="0" fontId="26" fillId="14" borderId="0" xfId="0" applyFont="1" applyFill="1" applyBorder="1" applyAlignment="1">
      <alignment horizontal="left" vertical="center" wrapText="1" indent="1"/>
    </xf>
    <xf numFmtId="0" fontId="16" fillId="0" borderId="19" xfId="0" applyFont="1" applyFill="1" applyBorder="1" applyAlignment="1" applyProtection="1">
      <alignment horizontal="center" vertical="center"/>
    </xf>
    <xf numFmtId="0" fontId="16" fillId="0" borderId="19" xfId="0" applyFont="1" applyFill="1" applyBorder="1" applyAlignment="1" applyProtection="1">
      <alignment horizontal="center"/>
    </xf>
    <xf numFmtId="0" fontId="30" fillId="0" borderId="0" xfId="0" applyFont="1" applyFill="1" applyBorder="1" applyAlignment="1" applyProtection="1">
      <alignment horizontal="center"/>
    </xf>
    <xf numFmtId="0" fontId="30" fillId="0" borderId="13" xfId="0" applyFont="1" applyFill="1" applyBorder="1" applyAlignment="1" applyProtection="1">
      <alignment horizontal="center"/>
    </xf>
    <xf numFmtId="0" fontId="17" fillId="13" borderId="2" xfId="0" applyFont="1" applyFill="1" applyBorder="1" applyAlignment="1" applyProtection="1">
      <alignment horizontal="center" vertical="center"/>
      <protection locked="0"/>
    </xf>
    <xf numFmtId="0" fontId="17" fillId="13" borderId="3"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xf>
    <xf numFmtId="0" fontId="17" fillId="7" borderId="2" xfId="0" applyFont="1" applyFill="1" applyBorder="1" applyAlignment="1" applyProtection="1">
      <alignment horizontal="center"/>
      <protection locked="0"/>
    </xf>
    <xf numFmtId="0" fontId="17" fillId="7" borderId="3" xfId="0" applyFont="1" applyFill="1" applyBorder="1" applyAlignment="1" applyProtection="1">
      <alignment horizontal="center"/>
      <protection locked="0"/>
    </xf>
    <xf numFmtId="0" fontId="30" fillId="0" borderId="0" xfId="1" applyNumberFormat="1" applyFont="1" applyFill="1" applyBorder="1" applyAlignment="1" applyProtection="1">
      <alignment horizontal="center" vertical="center" wrapText="1"/>
    </xf>
    <xf numFmtId="0" fontId="50" fillId="0" borderId="0" xfId="0" applyFont="1" applyFill="1" applyBorder="1" applyProtection="1"/>
    <xf numFmtId="0" fontId="30" fillId="0" borderId="13" xfId="1" applyNumberFormat="1" applyFont="1" applyFill="1" applyBorder="1" applyAlignment="1" applyProtection="1">
      <alignment horizontal="center" vertical="center" wrapText="1"/>
    </xf>
    <xf numFmtId="0" fontId="19" fillId="0" borderId="0" xfId="1" applyFont="1" applyFill="1" applyBorder="1" applyAlignment="1" applyProtection="1">
      <alignment horizontal="center"/>
    </xf>
    <xf numFmtId="0" fontId="13" fillId="0" borderId="0" xfId="0" applyFont="1" applyFill="1" applyBorder="1" applyAlignment="1" applyProtection="1">
      <alignment horizontal="center"/>
    </xf>
    <xf numFmtId="0" fontId="13" fillId="0" borderId="0" xfId="1" applyFont="1" applyFill="1" applyBorder="1" applyAlignment="1" applyProtection="1">
      <alignment horizontal="center"/>
    </xf>
    <xf numFmtId="0" fontId="19" fillId="0" borderId="0" xfId="0" applyFont="1" applyFill="1" applyBorder="1" applyAlignment="1" applyProtection="1">
      <alignment horizontal="left"/>
    </xf>
    <xf numFmtId="0" fontId="30" fillId="0" borderId="15" xfId="0" applyFont="1" applyBorder="1" applyAlignment="1">
      <alignment horizontal="center"/>
    </xf>
    <xf numFmtId="0" fontId="30" fillId="0" borderId="16" xfId="0" applyFont="1" applyBorder="1" applyAlignment="1">
      <alignment horizontal="center"/>
    </xf>
    <xf numFmtId="0" fontId="30" fillId="0" borderId="17" xfId="0" applyFont="1" applyBorder="1" applyAlignment="1">
      <alignment horizontal="center"/>
    </xf>
    <xf numFmtId="0" fontId="15" fillId="0" borderId="27" xfId="0" applyFont="1" applyBorder="1"/>
    <xf numFmtId="0" fontId="15" fillId="0" borderId="29" xfId="0" applyFont="1" applyBorder="1"/>
    <xf numFmtId="0" fontId="15" fillId="0" borderId="28" xfId="0" applyFont="1" applyBorder="1"/>
    <xf numFmtId="0" fontId="15" fillId="0" borderId="4" xfId="0" applyFont="1" applyBorder="1" applyAlignment="1">
      <alignment horizontal="right"/>
    </xf>
    <xf numFmtId="0" fontId="15" fillId="0" borderId="12" xfId="0" applyFont="1" applyBorder="1" applyAlignment="1">
      <alignment horizontal="right"/>
    </xf>
    <xf numFmtId="0" fontId="15" fillId="0" borderId="13" xfId="0" applyFont="1" applyBorder="1" applyAlignment="1">
      <alignment horizontal="right"/>
    </xf>
    <xf numFmtId="0" fontId="15" fillId="0" borderId="14" xfId="0" applyFont="1" applyBorder="1" applyAlignment="1">
      <alignment horizontal="right"/>
    </xf>
    <xf numFmtId="0" fontId="15" fillId="0" borderId="22" xfId="0" applyFont="1" applyBorder="1"/>
    <xf numFmtId="0" fontId="15" fillId="0" borderId="30" xfId="0" applyFont="1" applyBorder="1"/>
    <xf numFmtId="0" fontId="4" fillId="0" borderId="39" xfId="0" applyFont="1" applyFill="1" applyBorder="1" applyAlignment="1" applyProtection="1">
      <alignment horizontal="center"/>
    </xf>
    <xf numFmtId="0" fontId="4" fillId="0" borderId="35" xfId="0" applyFont="1" applyFill="1" applyBorder="1" applyAlignment="1" applyProtection="1">
      <alignment horizontal="center"/>
    </xf>
    <xf numFmtId="9" fontId="6" fillId="0" borderId="39" xfId="6" applyFont="1" applyFill="1" applyBorder="1" applyAlignment="1" applyProtection="1">
      <alignment horizontal="center"/>
      <protection locked="0"/>
    </xf>
    <xf numFmtId="9" fontId="6" fillId="0" borderId="35" xfId="6" applyFont="1" applyFill="1" applyBorder="1" applyAlignment="1" applyProtection="1">
      <alignment horizontal="center"/>
      <protection locked="0"/>
    </xf>
  </cellXfs>
  <cellStyles count="12">
    <cellStyle name="Calculation 2" xfId="8"/>
    <cellStyle name="Comma" xfId="5" builtinId="3"/>
    <cellStyle name="Currency" xfId="7" builtinId="4"/>
    <cellStyle name="Currency 2" xfId="3"/>
    <cellStyle name="Data" xfId="10"/>
    <cellStyle name="Linked Cell 2" xfId="9"/>
    <cellStyle name="Normal" xfId="0" builtinId="0" customBuiltin="1"/>
    <cellStyle name="Normal 2" xfId="2"/>
    <cellStyle name="Normal 3" xfId="1"/>
    <cellStyle name="Percent" xfId="6" builtinId="5"/>
    <cellStyle name="Percent 2" xfId="4"/>
    <cellStyle name="Raw" xfId="11"/>
  </cellStyles>
  <dxfs count="12">
    <dxf>
      <fill>
        <patternFill>
          <bgColor theme="9" tint="0.59996337778862885"/>
        </patternFill>
      </fill>
    </dxf>
    <dxf>
      <fill>
        <patternFill>
          <bgColor theme="6" tint="0.59996337778862885"/>
        </patternFill>
      </fill>
    </dxf>
    <dxf>
      <fill>
        <patternFill>
          <bgColor theme="6" tint="0.59996337778862885"/>
        </patternFill>
      </fill>
    </dxf>
    <dxf>
      <fill>
        <patternFill>
          <bgColor theme="9" tint="0.59996337778862885"/>
        </patternFill>
      </fill>
    </dxf>
    <dxf>
      <fill>
        <patternFill>
          <bgColor theme="6" tint="0.59996337778862885"/>
        </patternFill>
      </fill>
    </dxf>
    <dxf>
      <fill>
        <patternFill>
          <bgColor theme="9" tint="0.59996337778862885"/>
        </patternFill>
      </fill>
    </dxf>
    <dxf>
      <fill>
        <patternFill>
          <bgColor theme="9" tint="0.59996337778862885"/>
        </patternFill>
      </fill>
    </dxf>
    <dxf>
      <fill>
        <patternFill>
          <bgColor theme="6" tint="0.59996337778862885"/>
        </patternFill>
      </fill>
    </dxf>
    <dxf>
      <fill>
        <patternFill>
          <bgColor theme="9" tint="0.59996337778862885"/>
        </patternFill>
      </fill>
    </dxf>
    <dxf>
      <fill>
        <patternFill>
          <bgColor theme="6" tint="0.59996337778862885"/>
        </patternFill>
      </fill>
    </dxf>
    <dxf>
      <fill>
        <patternFill>
          <bgColor theme="6" tint="0.59996337778862885"/>
        </patternFill>
      </fill>
    </dxf>
    <dxf>
      <fill>
        <patternFill>
          <bgColor theme="9" tint="0.59996337778862885"/>
        </patternFill>
      </fill>
    </dxf>
  </dxfs>
  <tableStyles count="0" defaultTableStyle="TableStyleMedium2" defaultPivotStyle="PivotStyleLight16"/>
  <colors>
    <mruColors>
      <color rgb="FF0000FF"/>
      <color rgb="FFFFFFCC"/>
      <color rgb="FFA3C2FF"/>
      <color rgb="FF008000"/>
      <color rgb="FFBFCFA9"/>
      <color rgb="FFA9BD89"/>
      <color rgb="FF95C4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16</xdr:col>
      <xdr:colOff>15240</xdr:colOff>
      <xdr:row>2</xdr:row>
      <xdr:rowOff>11278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6240" y="198120"/>
          <a:ext cx="10119360" cy="16190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152400</xdr:colOff>
      <xdr:row>0</xdr:row>
      <xdr:rowOff>0</xdr:rowOff>
    </xdr:from>
    <xdr:to>
      <xdr:col>20</xdr:col>
      <xdr:colOff>594360</xdr:colOff>
      <xdr:row>7</xdr:row>
      <xdr:rowOff>125115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94520" y="0"/>
          <a:ext cx="1661160" cy="1481475"/>
        </a:xfrm>
        <a:prstGeom prst="rect">
          <a:avLst/>
        </a:prstGeom>
      </xdr:spPr>
    </xdr:pic>
    <xdr:clientData/>
  </xdr:twoCellAnchor>
  <xdr:twoCellAnchor>
    <xdr:from>
      <xdr:col>17</xdr:col>
      <xdr:colOff>236220</xdr:colOff>
      <xdr:row>13</xdr:row>
      <xdr:rowOff>22860</xdr:rowOff>
    </xdr:from>
    <xdr:to>
      <xdr:col>20</xdr:col>
      <xdr:colOff>381000</xdr:colOff>
      <xdr:row>19</xdr:row>
      <xdr:rowOff>30480</xdr:rowOff>
    </xdr:to>
    <xdr:sp macro="" textlink="">
      <xdr:nvSpPr>
        <xdr:cNvPr id="7" name="Rounded Rectangle 6"/>
        <xdr:cNvSpPr/>
      </xdr:nvSpPr>
      <xdr:spPr>
        <a:xfrm>
          <a:off x="9212580" y="2407920"/>
          <a:ext cx="1729740" cy="967740"/>
        </a:xfrm>
        <a:prstGeom prst="roundRect">
          <a:avLst/>
        </a:prstGeom>
        <a:solidFill>
          <a:srgbClr val="FFFFCC"/>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r>
            <a:rPr kumimoji="0" lang="en-US" sz="1100" b="0" i="0" u="none" strike="noStrike" kern="0" cap="none" spc="0" normalizeH="0" baseline="0" noProof="0">
              <a:ln>
                <a:noFill/>
              </a:ln>
              <a:solidFill>
                <a:srgbClr val="0000FF"/>
              </a:solidFill>
              <a:effectLst/>
              <a:uLnTx/>
              <a:uFillTx/>
              <a:latin typeface="Calibri" panose="020F0502020204030204"/>
              <a:ea typeface="+mn-ea"/>
              <a:cs typeface="+mn-cs"/>
            </a:rPr>
            <a:t>You may enter your own data into any cell will a pale yellow background and blue colored font.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twoCellAnchor>
    <xdr:from>
      <xdr:col>17</xdr:col>
      <xdr:colOff>243840</xdr:colOff>
      <xdr:row>19</xdr:row>
      <xdr:rowOff>22860</xdr:rowOff>
    </xdr:from>
    <xdr:to>
      <xdr:col>20</xdr:col>
      <xdr:colOff>396240</xdr:colOff>
      <xdr:row>25</xdr:row>
      <xdr:rowOff>0</xdr:rowOff>
    </xdr:to>
    <xdr:sp macro="" textlink="">
      <xdr:nvSpPr>
        <xdr:cNvPr id="8" name="Rounded Rectangle 7"/>
        <xdr:cNvSpPr/>
      </xdr:nvSpPr>
      <xdr:spPr>
        <a:xfrm>
          <a:off x="9220200" y="3368040"/>
          <a:ext cx="1737360" cy="1165860"/>
        </a:xfrm>
        <a:prstGeom prst="roundRect">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 </a:t>
          </a:r>
          <a:r>
            <a:rPr lang="en-US" sz="1100" b="0">
              <a:solidFill>
                <a:sysClr val="windowText" lastClr="000000"/>
              </a:solidFill>
            </a:rPr>
            <a:t>You</a:t>
          </a:r>
          <a:r>
            <a:rPr lang="en-US" sz="1100" b="0" baseline="0">
              <a:solidFill>
                <a:sysClr val="windowText" lastClr="000000"/>
              </a:solidFill>
            </a:rPr>
            <a:t> may select any number or practice from a drop-down list in any cell with a light blue background.</a:t>
          </a:r>
        </a:p>
        <a:p>
          <a:pPr algn="l"/>
          <a:endParaRPr lang="en-US" sz="1100" baseline="0">
            <a:solidFill>
              <a:sysClr val="windowText" lastClr="000000"/>
            </a:solidFill>
          </a:endParaRPr>
        </a:p>
        <a:p>
          <a:pPr algn="l"/>
          <a:r>
            <a:rPr lang="en-US" sz="1100" baseline="0">
              <a:solidFill>
                <a:sysClr val="windowText" lastClr="000000"/>
              </a:solidFill>
            </a:rPr>
            <a:t>     </a:t>
          </a:r>
          <a:endParaRPr lang="en-US" sz="1100">
            <a:solidFill>
              <a:sysClr val="windowText" lastClr="000000"/>
            </a:solidFill>
          </a:endParaRPr>
        </a:p>
      </xdr:txBody>
    </xdr:sp>
    <xdr:clientData/>
  </xdr:twoCellAnchor>
  <xdr:oneCellAnchor>
    <xdr:from>
      <xdr:col>22</xdr:col>
      <xdr:colOff>338666</xdr:colOff>
      <xdr:row>18</xdr:row>
      <xdr:rowOff>84666</xdr:rowOff>
    </xdr:from>
    <xdr:ext cx="184731" cy="264560"/>
    <xdr:sp macro="" textlink="">
      <xdr:nvSpPr>
        <xdr:cNvPr id="5" name="TextBox 4"/>
        <xdr:cNvSpPr txBox="1"/>
      </xdr:nvSpPr>
      <xdr:spPr>
        <a:xfrm>
          <a:off x="12462933" y="32427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19</xdr:col>
      <xdr:colOff>68580</xdr:colOff>
      <xdr:row>0</xdr:row>
      <xdr:rowOff>0</xdr:rowOff>
    </xdr:from>
    <xdr:to>
      <xdr:col>21</xdr:col>
      <xdr:colOff>96137</xdr:colOff>
      <xdr:row>4</xdr:row>
      <xdr:rowOff>68580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200" y="0"/>
          <a:ext cx="1170557" cy="10439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1043940</xdr:colOff>
      <xdr:row>0</xdr:row>
      <xdr:rowOff>0</xdr:rowOff>
    </xdr:from>
    <xdr:to>
      <xdr:col>23</xdr:col>
      <xdr:colOff>15240</xdr:colOff>
      <xdr:row>4</xdr:row>
      <xdr:rowOff>154586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98280" y="0"/>
          <a:ext cx="1318260" cy="11756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121920</xdr:colOff>
      <xdr:row>0</xdr:row>
      <xdr:rowOff>0</xdr:rowOff>
    </xdr:from>
    <xdr:to>
      <xdr:col>16</xdr:col>
      <xdr:colOff>237729</xdr:colOff>
      <xdr:row>6</xdr:row>
      <xdr:rowOff>99060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8100" y="0"/>
          <a:ext cx="1845549" cy="1645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C2:P13"/>
  <sheetViews>
    <sheetView showGridLines="0" showRowColHeaders="0" tabSelected="1" zoomScale="90" zoomScaleNormal="90" zoomScalePageLayoutView="90" workbookViewId="0"/>
  </sheetViews>
  <sheetFormatPr defaultColWidth="8.7109375" defaultRowHeight="15.75" x14ac:dyDescent="0.25"/>
  <cols>
    <col min="1" max="1" width="8.7109375" style="100"/>
    <col min="2" max="2" width="2.7109375" style="100" customWidth="1"/>
    <col min="3" max="3" width="3" style="100" customWidth="1"/>
    <col min="4" max="15" width="11.7109375" style="100" customWidth="1"/>
    <col min="16" max="16" width="3" style="100" customWidth="1"/>
    <col min="17" max="17" width="2.7109375" style="100" customWidth="1"/>
    <col min="18" max="16384" width="8.7109375" style="100"/>
  </cols>
  <sheetData>
    <row r="2" spans="3:16" ht="126.4" customHeight="1" x14ac:dyDescent="0.25"/>
    <row r="3" spans="3:16" ht="23.25" x14ac:dyDescent="0.35">
      <c r="D3" s="151" t="s">
        <v>81</v>
      </c>
    </row>
    <row r="4" spans="3:16" x14ac:dyDescent="0.25">
      <c r="D4" s="152" t="s">
        <v>100</v>
      </c>
    </row>
    <row r="6" spans="3:16" x14ac:dyDescent="0.25">
      <c r="C6" s="101"/>
      <c r="D6" s="101"/>
      <c r="E6" s="101"/>
      <c r="F6" s="101"/>
      <c r="G6" s="101"/>
      <c r="H6" s="101"/>
      <c r="I6" s="101"/>
      <c r="J6" s="101"/>
      <c r="K6" s="101"/>
      <c r="L6" s="101"/>
      <c r="M6" s="101"/>
      <c r="N6" s="101"/>
      <c r="O6" s="101"/>
      <c r="P6" s="101"/>
    </row>
    <row r="7" spans="3:16" ht="40.15" customHeight="1" x14ac:dyDescent="0.25">
      <c r="C7" s="101"/>
      <c r="D7" s="440" t="s">
        <v>126</v>
      </c>
      <c r="E7" s="440"/>
      <c r="F7" s="440"/>
      <c r="G7" s="440"/>
      <c r="H7" s="440"/>
      <c r="I7" s="440"/>
      <c r="J7" s="440"/>
      <c r="K7" s="440"/>
      <c r="L7" s="440"/>
      <c r="M7" s="440"/>
      <c r="N7" s="440"/>
      <c r="O7" s="440"/>
      <c r="P7" s="101"/>
    </row>
    <row r="8" spans="3:16" ht="40.15" customHeight="1" x14ac:dyDescent="0.25">
      <c r="C8" s="101"/>
      <c r="D8" s="440" t="s">
        <v>127</v>
      </c>
      <c r="E8" s="440"/>
      <c r="F8" s="440"/>
      <c r="G8" s="440"/>
      <c r="H8" s="440"/>
      <c r="I8" s="440"/>
      <c r="J8" s="440"/>
      <c r="K8" s="440"/>
      <c r="L8" s="440"/>
      <c r="M8" s="440"/>
      <c r="N8" s="440"/>
      <c r="O8" s="440"/>
      <c r="P8" s="101"/>
    </row>
    <row r="9" spans="3:16" ht="56.65" customHeight="1" x14ac:dyDescent="0.25">
      <c r="C9" s="101"/>
      <c r="D9" s="441" t="s">
        <v>128</v>
      </c>
      <c r="E9" s="441"/>
      <c r="F9" s="441"/>
      <c r="G9" s="441"/>
      <c r="H9" s="441"/>
      <c r="I9" s="441"/>
      <c r="J9" s="441"/>
      <c r="K9" s="441"/>
      <c r="L9" s="441"/>
      <c r="M9" s="441"/>
      <c r="N9" s="441"/>
      <c r="O9" s="441"/>
      <c r="P9" s="101"/>
    </row>
    <row r="10" spans="3:16" ht="56.65" customHeight="1" x14ac:dyDescent="0.25">
      <c r="C10" s="101"/>
      <c r="D10" s="441" t="s">
        <v>123</v>
      </c>
      <c r="E10" s="441"/>
      <c r="F10" s="441"/>
      <c r="G10" s="441"/>
      <c r="H10" s="441"/>
      <c r="I10" s="441"/>
      <c r="J10" s="441"/>
      <c r="K10" s="441"/>
      <c r="L10" s="441"/>
      <c r="M10" s="441"/>
      <c r="N10" s="441"/>
      <c r="O10" s="441"/>
      <c r="P10" s="101"/>
    </row>
    <row r="11" spans="3:16" ht="40.15" customHeight="1" x14ac:dyDescent="0.25">
      <c r="C11" s="101"/>
      <c r="D11" s="441" t="s">
        <v>124</v>
      </c>
      <c r="E11" s="441"/>
      <c r="F11" s="441"/>
      <c r="G11" s="441"/>
      <c r="H11" s="441"/>
      <c r="I11" s="441"/>
      <c r="J11" s="441"/>
      <c r="K11" s="441"/>
      <c r="L11" s="441"/>
      <c r="M11" s="441"/>
      <c r="N11" s="441"/>
      <c r="O11" s="441"/>
      <c r="P11" s="101"/>
    </row>
    <row r="12" spans="3:16" ht="40.15" customHeight="1" x14ac:dyDescent="0.25">
      <c r="C12" s="101"/>
      <c r="D12" s="441" t="s">
        <v>125</v>
      </c>
      <c r="E12" s="441"/>
      <c r="F12" s="441"/>
      <c r="G12" s="441"/>
      <c r="H12" s="441"/>
      <c r="I12" s="441"/>
      <c r="J12" s="441"/>
      <c r="K12" s="441"/>
      <c r="L12" s="441"/>
      <c r="M12" s="441"/>
      <c r="N12" s="441"/>
      <c r="O12" s="441"/>
      <c r="P12" s="101"/>
    </row>
    <row r="13" spans="3:16" x14ac:dyDescent="0.25">
      <c r="C13" s="101"/>
      <c r="D13" s="101"/>
      <c r="E13" s="101"/>
      <c r="F13" s="101"/>
      <c r="G13" s="101"/>
      <c r="H13" s="101"/>
      <c r="I13" s="101"/>
      <c r="J13" s="101"/>
      <c r="K13" s="101"/>
      <c r="L13" s="101"/>
      <c r="M13" s="101"/>
      <c r="N13" s="101"/>
      <c r="O13" s="101"/>
      <c r="P13" s="101"/>
    </row>
  </sheetData>
  <mergeCells count="6">
    <mergeCell ref="D7:O7"/>
    <mergeCell ref="D10:O10"/>
    <mergeCell ref="D11:O11"/>
    <mergeCell ref="D12:O12"/>
    <mergeCell ref="D8:O8"/>
    <mergeCell ref="D9:O9"/>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2:AD47"/>
  <sheetViews>
    <sheetView showGridLines="0" workbookViewId="0"/>
  </sheetViews>
  <sheetFormatPr defaultColWidth="8.7109375" defaultRowHeight="15" x14ac:dyDescent="0.25"/>
  <cols>
    <col min="1" max="1" width="8.7109375" style="141"/>
    <col min="2" max="2" width="2.7109375" style="141" customWidth="1"/>
    <col min="3" max="3" width="0.7109375" style="141" customWidth="1"/>
    <col min="4" max="4" width="23.42578125" style="141" customWidth="1"/>
    <col min="5" max="5" width="8.7109375" style="141"/>
    <col min="6" max="6" width="0.7109375" style="11" customWidth="1"/>
    <col min="7" max="7" width="2.7109375" style="11" customWidth="1"/>
    <col min="8" max="8" width="0.7109375" style="11" customWidth="1"/>
    <col min="9" max="9" width="29.7109375" style="141" customWidth="1"/>
    <col min="10" max="10" width="8.7109375" style="141"/>
    <col min="11" max="11" width="0.7109375" style="11" customWidth="1"/>
    <col min="12" max="13" width="1.42578125" style="11" customWidth="1"/>
    <col min="14" max="14" width="0.7109375" style="141" customWidth="1"/>
    <col min="15" max="15" width="34.7109375" style="141" customWidth="1"/>
    <col min="16" max="16" width="8.7109375" style="141"/>
    <col min="17" max="17" width="0.7109375" style="141" customWidth="1"/>
    <col min="18" max="18" width="5.28515625" style="141" customWidth="1"/>
    <col min="19" max="16384" width="8.7109375" style="141"/>
  </cols>
  <sheetData>
    <row r="2" spans="3:30" ht="27.75" x14ac:dyDescent="0.4">
      <c r="D2" s="181" t="s">
        <v>81</v>
      </c>
    </row>
    <row r="3" spans="3:30" ht="15.75" x14ac:dyDescent="0.25">
      <c r="D3" s="182" t="str">
        <f>Welcome!D4</f>
        <v>September 2015</v>
      </c>
    </row>
    <row r="4" spans="3:30" x14ac:dyDescent="0.25">
      <c r="D4" s="183" t="s">
        <v>110</v>
      </c>
      <c r="E4" s="184"/>
      <c r="F4" s="185"/>
      <c r="G4" s="185"/>
      <c r="H4" s="185"/>
      <c r="I4" s="184"/>
      <c r="J4" s="184"/>
      <c r="K4" s="185"/>
      <c r="L4" s="185"/>
      <c r="M4" s="185"/>
      <c r="N4" s="184"/>
      <c r="O4" s="184"/>
      <c r="P4" s="184"/>
      <c r="Q4" s="184"/>
      <c r="R4" s="184"/>
      <c r="S4" s="184"/>
      <c r="T4" s="184"/>
      <c r="U4" s="184"/>
    </row>
    <row r="5" spans="3:30" x14ac:dyDescent="0.25">
      <c r="D5" s="186" t="s">
        <v>111</v>
      </c>
    </row>
    <row r="6" spans="3:30" ht="15.75" thickBot="1" x14ac:dyDescent="0.3">
      <c r="D6" s="186"/>
    </row>
    <row r="7" spans="3:30" ht="4.9000000000000004" customHeight="1" x14ac:dyDescent="0.25">
      <c r="C7" s="212"/>
      <c r="D7" s="273"/>
      <c r="E7" s="204"/>
      <c r="F7" s="205"/>
      <c r="H7" s="203"/>
      <c r="I7" s="204"/>
      <c r="J7" s="204"/>
      <c r="K7" s="205"/>
      <c r="N7" s="212"/>
      <c r="O7" s="204"/>
      <c r="P7" s="204"/>
      <c r="Q7" s="215"/>
    </row>
    <row r="8" spans="3:30" ht="20.65" customHeight="1" x14ac:dyDescent="0.3">
      <c r="C8" s="146"/>
      <c r="D8" s="275" t="s">
        <v>160</v>
      </c>
      <c r="E8" s="274">
        <v>2</v>
      </c>
      <c r="F8" s="207"/>
      <c r="H8" s="206"/>
      <c r="I8" s="444" t="s">
        <v>134</v>
      </c>
      <c r="J8" s="444"/>
      <c r="K8" s="207"/>
      <c r="N8" s="146"/>
      <c r="O8" s="451" t="s">
        <v>74</v>
      </c>
      <c r="P8" s="451"/>
      <c r="Q8" s="143"/>
    </row>
    <row r="9" spans="3:30" ht="4.9000000000000004" customHeight="1" thickBot="1" x14ac:dyDescent="0.35">
      <c r="C9" s="146"/>
      <c r="F9" s="207"/>
      <c r="H9" s="206"/>
      <c r="I9" s="11"/>
      <c r="J9" s="11"/>
      <c r="K9" s="208"/>
      <c r="L9" s="199"/>
      <c r="M9" s="199"/>
      <c r="N9" s="146"/>
      <c r="O9" s="452"/>
      <c r="P9" s="452"/>
      <c r="Q9" s="143"/>
    </row>
    <row r="10" spans="3:30" ht="20.65" customHeight="1" x14ac:dyDescent="0.35">
      <c r="C10" s="212"/>
      <c r="D10" s="448" t="s">
        <v>33</v>
      </c>
      <c r="E10" s="448"/>
      <c r="F10" s="272"/>
      <c r="G10" s="165"/>
      <c r="H10" s="206"/>
      <c r="I10" s="445" t="s">
        <v>91</v>
      </c>
      <c r="J10" s="445"/>
      <c r="K10" s="208"/>
      <c r="L10" s="199"/>
      <c r="M10" s="199"/>
      <c r="N10" s="146"/>
      <c r="O10" s="453" t="s">
        <v>75</v>
      </c>
      <c r="P10" s="453"/>
      <c r="Q10" s="143"/>
      <c r="S10" s="141" t="s">
        <v>156</v>
      </c>
    </row>
    <row r="11" spans="3:30" ht="21" x14ac:dyDescent="0.35">
      <c r="C11" s="146"/>
      <c r="D11" s="449">
        <v>8</v>
      </c>
      <c r="E11" s="450"/>
      <c r="F11" s="214"/>
      <c r="G11" s="174"/>
      <c r="H11" s="206"/>
      <c r="I11" s="446" t="s">
        <v>37</v>
      </c>
      <c r="J11" s="447"/>
      <c r="K11" s="209"/>
      <c r="L11" s="200"/>
      <c r="M11" s="200"/>
      <c r="N11" s="146"/>
      <c r="O11" s="446" t="s">
        <v>69</v>
      </c>
      <c r="P11" s="447"/>
      <c r="Q11" s="143"/>
    </row>
    <row r="12" spans="3:30" ht="4.9000000000000004" customHeight="1" thickBot="1" x14ac:dyDescent="0.3">
      <c r="C12" s="147"/>
      <c r="D12" s="148"/>
      <c r="E12" s="148"/>
      <c r="F12" s="211"/>
      <c r="H12" s="210"/>
      <c r="I12" s="148"/>
      <c r="J12" s="148"/>
      <c r="K12" s="211"/>
      <c r="N12" s="147"/>
      <c r="O12" s="148"/>
      <c r="P12" s="148"/>
      <c r="Q12" s="216"/>
    </row>
    <row r="13" spans="3:30" ht="15.75" thickBot="1" x14ac:dyDescent="0.3"/>
    <row r="14" spans="3:30" ht="4.9000000000000004" customHeight="1" x14ac:dyDescent="0.25">
      <c r="C14" s="212"/>
      <c r="D14" s="204"/>
      <c r="E14" s="204"/>
      <c r="F14" s="205"/>
      <c r="H14" s="235"/>
      <c r="I14" s="236"/>
      <c r="J14" s="236"/>
      <c r="K14" s="236"/>
      <c r="L14" s="236"/>
      <c r="M14" s="236"/>
      <c r="N14" s="237"/>
      <c r="O14" s="236"/>
      <c r="P14" s="236"/>
      <c r="Q14" s="238"/>
      <c r="R14" s="7"/>
      <c r="S14" s="7"/>
      <c r="T14" s="7"/>
      <c r="U14" s="7"/>
      <c r="V14" s="7"/>
      <c r="W14" s="7"/>
      <c r="X14" s="7"/>
      <c r="Y14" s="7"/>
      <c r="Z14" s="7"/>
      <c r="AA14" s="7"/>
      <c r="AB14" s="7"/>
      <c r="AC14" s="7"/>
      <c r="AD14" s="7"/>
    </row>
    <row r="15" spans="3:30" ht="21.75" thickBot="1" x14ac:dyDescent="0.4">
      <c r="C15" s="146"/>
      <c r="D15" s="443" t="s">
        <v>90</v>
      </c>
      <c r="E15" s="443"/>
      <c r="F15" s="213"/>
      <c r="G15" s="165"/>
      <c r="H15" s="206"/>
      <c r="I15" s="442" t="s">
        <v>129</v>
      </c>
      <c r="J15" s="442"/>
      <c r="K15" s="442"/>
      <c r="L15" s="442"/>
      <c r="M15" s="442"/>
      <c r="N15" s="442"/>
      <c r="O15" s="442"/>
      <c r="P15" s="442"/>
      <c r="Q15" s="239"/>
      <c r="R15" s="7"/>
      <c r="S15" s="7"/>
      <c r="T15" s="7"/>
      <c r="U15" s="7"/>
      <c r="Z15" s="7"/>
      <c r="AA15" s="7"/>
      <c r="AB15" s="7"/>
      <c r="AC15" s="7"/>
    </row>
    <row r="16" spans="3:30" ht="4.9000000000000004" customHeight="1" x14ac:dyDescent="0.35">
      <c r="C16" s="146"/>
      <c r="D16" s="165"/>
      <c r="E16" s="165"/>
      <c r="F16" s="213"/>
      <c r="G16" s="165"/>
      <c r="H16" s="206"/>
      <c r="I16" s="429"/>
      <c r="J16" s="429"/>
      <c r="K16" s="429"/>
      <c r="L16" s="429"/>
      <c r="M16" s="429"/>
      <c r="N16" s="429"/>
      <c r="O16" s="429"/>
      <c r="P16" s="429"/>
      <c r="Q16" s="239"/>
      <c r="R16" s="7"/>
      <c r="S16" s="7"/>
      <c r="T16" s="7"/>
      <c r="U16" s="7"/>
      <c r="Z16" s="7"/>
      <c r="AA16" s="7"/>
      <c r="AB16" s="7"/>
      <c r="AC16" s="7"/>
    </row>
    <row r="17" spans="3:29" ht="18" customHeight="1" x14ac:dyDescent="0.3">
      <c r="C17" s="146"/>
      <c r="D17" s="262" t="s">
        <v>0</v>
      </c>
      <c r="E17" s="166"/>
      <c r="F17" s="217"/>
      <c r="G17" s="166"/>
      <c r="H17" s="240"/>
      <c r="I17" s="261" t="s">
        <v>0</v>
      </c>
      <c r="J17" s="187"/>
      <c r="K17" s="187"/>
      <c r="L17" s="187"/>
      <c r="M17" s="430"/>
      <c r="N17" s="11"/>
      <c r="O17" s="13"/>
      <c r="P17" s="13"/>
      <c r="Q17" s="239"/>
    </row>
    <row r="18" spans="3:29" ht="15.75" x14ac:dyDescent="0.25">
      <c r="C18" s="146"/>
      <c r="D18" s="231" t="s">
        <v>95</v>
      </c>
      <c r="E18" s="264" t="s">
        <v>96</v>
      </c>
      <c r="F18" s="8"/>
      <c r="G18" s="167"/>
      <c r="H18" s="241"/>
      <c r="I18" s="250" t="s">
        <v>143</v>
      </c>
      <c r="J18" s="265" t="s">
        <v>144</v>
      </c>
      <c r="K18" s="188"/>
      <c r="L18" s="188"/>
      <c r="M18" s="343"/>
      <c r="N18" s="10"/>
      <c r="O18" s="254" t="s">
        <v>139</v>
      </c>
      <c r="P18" s="150">
        <v>170</v>
      </c>
      <c r="Q18" s="242"/>
    </row>
    <row r="19" spans="3:29" ht="15.75" x14ac:dyDescent="0.25">
      <c r="C19" s="146"/>
      <c r="D19" s="160" t="s">
        <v>61</v>
      </c>
      <c r="E19" s="226">
        <v>80</v>
      </c>
      <c r="F19" s="218"/>
      <c r="G19" s="175"/>
      <c r="H19" s="206"/>
      <c r="I19" s="161" t="s">
        <v>97</v>
      </c>
      <c r="J19" s="95">
        <v>90</v>
      </c>
      <c r="K19" s="180"/>
      <c r="L19" s="180"/>
      <c r="M19" s="344"/>
      <c r="O19" s="255" t="s">
        <v>101</v>
      </c>
      <c r="Q19" s="143"/>
    </row>
    <row r="20" spans="3:29" x14ac:dyDescent="0.25">
      <c r="C20" s="146"/>
      <c r="D20" s="160" t="s">
        <v>62</v>
      </c>
      <c r="E20" s="226">
        <v>80</v>
      </c>
      <c r="F20" s="218"/>
      <c r="G20" s="175"/>
      <c r="H20" s="206"/>
      <c r="I20" s="161" t="s">
        <v>98</v>
      </c>
      <c r="J20" s="95">
        <v>50</v>
      </c>
      <c r="K20" s="180"/>
      <c r="L20" s="180"/>
      <c r="M20" s="344"/>
      <c r="O20" s="164" t="s">
        <v>138</v>
      </c>
      <c r="P20" s="96">
        <v>30</v>
      </c>
      <c r="Q20" s="207"/>
    </row>
    <row r="21" spans="3:29" x14ac:dyDescent="0.25">
      <c r="C21" s="146"/>
      <c r="D21" s="160" t="s">
        <v>66</v>
      </c>
      <c r="E21" s="226">
        <v>60</v>
      </c>
      <c r="F21" s="218"/>
      <c r="G21" s="175"/>
      <c r="H21" s="206"/>
      <c r="I21" s="161" t="s">
        <v>99</v>
      </c>
      <c r="J21" s="95">
        <v>30</v>
      </c>
      <c r="K21" s="180"/>
      <c r="L21" s="180"/>
      <c r="M21" s="344"/>
      <c r="O21" s="164" t="s">
        <v>93</v>
      </c>
      <c r="P21" s="292">
        <v>2.2499999999999999E-2</v>
      </c>
      <c r="Q21" s="207"/>
    </row>
    <row r="22" spans="3:29" x14ac:dyDescent="0.25">
      <c r="C22" s="146"/>
      <c r="D22" s="160" t="s">
        <v>67</v>
      </c>
      <c r="E22" s="226">
        <v>40</v>
      </c>
      <c r="F22" s="218"/>
      <c r="G22" s="175"/>
      <c r="H22" s="206"/>
      <c r="I22" s="190" t="s">
        <v>130</v>
      </c>
      <c r="J22" s="191">
        <f>SUM(J19:J21)</f>
        <v>170</v>
      </c>
      <c r="K22" s="191"/>
      <c r="L22" s="191"/>
      <c r="M22" s="345"/>
      <c r="N22" s="142"/>
      <c r="O22" s="263" t="s">
        <v>142</v>
      </c>
      <c r="P22" s="193">
        <f>(1000*P21)*30</f>
        <v>675</v>
      </c>
      <c r="Q22" s="207"/>
      <c r="R22" s="11"/>
    </row>
    <row r="23" spans="3:29" x14ac:dyDescent="0.25">
      <c r="C23" s="146"/>
      <c r="D23" s="160" t="s">
        <v>63</v>
      </c>
      <c r="E23" s="226">
        <v>20</v>
      </c>
      <c r="F23" s="218"/>
      <c r="G23" s="175"/>
      <c r="H23" s="206"/>
      <c r="I23" s="192" t="s">
        <v>154</v>
      </c>
      <c r="J23" s="12">
        <f>Input!E33</f>
        <v>34.659999999999997</v>
      </c>
      <c r="K23" s="12"/>
      <c r="L23" s="12"/>
      <c r="M23" s="346"/>
      <c r="N23" s="98"/>
      <c r="O23" s="164" t="s">
        <v>51</v>
      </c>
      <c r="P23" s="269">
        <v>0.5</v>
      </c>
      <c r="Q23" s="207"/>
      <c r="V23" s="291"/>
    </row>
    <row r="24" spans="3:29" ht="18.75" x14ac:dyDescent="0.3">
      <c r="C24" s="146"/>
      <c r="D24" s="160" t="s">
        <v>65</v>
      </c>
      <c r="E24" s="226">
        <v>20</v>
      </c>
      <c r="F24" s="218"/>
      <c r="G24" s="175"/>
      <c r="H24" s="206"/>
      <c r="I24" s="162" t="s">
        <v>131</v>
      </c>
      <c r="J24" s="194">
        <f>(J23/100)*J22</f>
        <v>58.921999999999997</v>
      </c>
      <c r="K24" s="194"/>
      <c r="L24" s="194"/>
      <c r="M24" s="347"/>
      <c r="N24" s="11"/>
      <c r="O24" s="256" t="s">
        <v>37</v>
      </c>
      <c r="P24" s="253"/>
      <c r="Q24" s="143"/>
    </row>
    <row r="25" spans="3:29" ht="18.75" x14ac:dyDescent="0.3">
      <c r="C25" s="146"/>
      <c r="D25" s="161" t="s">
        <v>60</v>
      </c>
      <c r="E25" s="150">
        <v>80</v>
      </c>
      <c r="F25" s="219"/>
      <c r="G25" s="176"/>
      <c r="H25" s="206"/>
      <c r="I25" s="260" t="s">
        <v>92</v>
      </c>
      <c r="J25" s="12"/>
      <c r="K25" s="12"/>
      <c r="L25" s="12"/>
      <c r="M25" s="346"/>
      <c r="N25" s="12"/>
      <c r="O25" s="438" t="s">
        <v>165</v>
      </c>
      <c r="P25" s="95">
        <v>2.2999999999999998</v>
      </c>
      <c r="Q25" s="143"/>
    </row>
    <row r="26" spans="3:29" ht="15.75" x14ac:dyDescent="0.25">
      <c r="C26" s="146"/>
      <c r="D26" s="161" t="s">
        <v>64</v>
      </c>
      <c r="E26" s="150">
        <v>5</v>
      </c>
      <c r="F26" s="219"/>
      <c r="G26" s="176"/>
      <c r="H26" s="206"/>
      <c r="I26" s="257" t="s">
        <v>72</v>
      </c>
      <c r="J26" s="264" t="s">
        <v>96</v>
      </c>
      <c r="K26" s="189"/>
      <c r="L26" s="189"/>
      <c r="M26" s="348"/>
      <c r="N26" s="144"/>
      <c r="O26" s="257" t="s">
        <v>73</v>
      </c>
      <c r="P26" s="437"/>
      <c r="Q26" s="207"/>
      <c r="R26" s="11"/>
    </row>
    <row r="27" spans="3:29" x14ac:dyDescent="0.25">
      <c r="C27" s="146"/>
      <c r="D27" s="161" t="s">
        <v>36</v>
      </c>
      <c r="E27" s="150">
        <v>10</v>
      </c>
      <c r="F27" s="219"/>
      <c r="G27" s="176"/>
      <c r="H27" s="206"/>
      <c r="I27" s="161" t="s">
        <v>153</v>
      </c>
      <c r="J27" s="96">
        <v>21</v>
      </c>
      <c r="K27" s="178"/>
      <c r="L27" s="178"/>
      <c r="M27" s="349"/>
      <c r="N27" s="11"/>
      <c r="O27" s="196" t="s">
        <v>136</v>
      </c>
      <c r="P27" s="10">
        <f>((2000/J30)*(Input!$D$11*$P$25))/Input!$D$11</f>
        <v>57.499999999999993</v>
      </c>
      <c r="Q27" s="207"/>
      <c r="S27" s="293"/>
    </row>
    <row r="28" spans="3:29" ht="15.75" x14ac:dyDescent="0.25">
      <c r="C28" s="146"/>
      <c r="D28" s="232" t="s">
        <v>145</v>
      </c>
      <c r="E28" s="266" t="s">
        <v>144</v>
      </c>
      <c r="F28" s="145"/>
      <c r="G28" s="168"/>
      <c r="H28" s="241"/>
      <c r="I28" s="161" t="s">
        <v>35</v>
      </c>
      <c r="J28" s="96">
        <v>8</v>
      </c>
      <c r="K28" s="178"/>
      <c r="L28" s="178"/>
      <c r="M28" s="349"/>
      <c r="N28" s="11"/>
      <c r="O28" s="196" t="s">
        <v>158</v>
      </c>
      <c r="P28" s="10">
        <f>((2000/J31)*(Input!$D$11*$P$25))/Input!$D$11</f>
        <v>3.0666666666666664</v>
      </c>
      <c r="Q28" s="207"/>
      <c r="R28" s="11"/>
      <c r="S28" s="293"/>
      <c r="W28" s="195"/>
    </row>
    <row r="29" spans="3:29" ht="15.75" x14ac:dyDescent="0.25">
      <c r="C29" s="146"/>
      <c r="D29" s="161" t="s">
        <v>97</v>
      </c>
      <c r="E29" s="227">
        <v>18</v>
      </c>
      <c r="F29" s="220"/>
      <c r="G29" s="9"/>
      <c r="H29" s="146"/>
      <c r="I29" s="257" t="s">
        <v>146</v>
      </c>
      <c r="J29" s="264" t="s">
        <v>147</v>
      </c>
      <c r="K29" s="189"/>
      <c r="L29" s="189"/>
      <c r="M29" s="348"/>
      <c r="N29" s="11"/>
      <c r="O29" s="196" t="s">
        <v>137</v>
      </c>
      <c r="P29" s="10">
        <f>((2000/J32)*(Input!$D$11*$P$25))/Input!$D$11</f>
        <v>4.5999999999999996</v>
      </c>
      <c r="Q29" s="207"/>
      <c r="R29" s="11"/>
      <c r="S29" s="293"/>
    </row>
    <row r="30" spans="3:29" ht="15.75" x14ac:dyDescent="0.25">
      <c r="C30" s="146"/>
      <c r="D30" s="161" t="s">
        <v>98</v>
      </c>
      <c r="E30" s="227">
        <v>10</v>
      </c>
      <c r="F30" s="220"/>
      <c r="G30" s="9"/>
      <c r="H30" s="146"/>
      <c r="I30" s="192" t="s">
        <v>69</v>
      </c>
      <c r="J30" s="97">
        <v>80</v>
      </c>
      <c r="K30" s="201"/>
      <c r="L30" s="201"/>
      <c r="M30" s="350"/>
      <c r="N30" s="11"/>
      <c r="O30" s="258" t="s">
        <v>45</v>
      </c>
      <c r="P30" s="251"/>
      <c r="Q30" s="207"/>
    </row>
    <row r="31" spans="3:29" x14ac:dyDescent="0.25">
      <c r="C31" s="146"/>
      <c r="D31" s="161" t="s">
        <v>99</v>
      </c>
      <c r="E31" s="227">
        <v>6</v>
      </c>
      <c r="F31" s="220"/>
      <c r="G31" s="9"/>
      <c r="H31" s="146"/>
      <c r="I31" s="192" t="s">
        <v>157</v>
      </c>
      <c r="J31" s="97">
        <v>1500</v>
      </c>
      <c r="K31" s="201"/>
      <c r="L31" s="201"/>
      <c r="M31" s="350"/>
      <c r="N31" s="11"/>
      <c r="O31" s="196" t="s">
        <v>140</v>
      </c>
      <c r="P31" s="197">
        <f>(P25*2000)</f>
        <v>4600</v>
      </c>
      <c r="Q31" s="243"/>
      <c r="R31" s="11"/>
      <c r="S31" s="11"/>
      <c r="T31" s="11"/>
      <c r="U31" s="13"/>
    </row>
    <row r="32" spans="3:29" x14ac:dyDescent="0.25">
      <c r="C32" s="146"/>
      <c r="D32" s="163" t="s">
        <v>152</v>
      </c>
      <c r="E32" s="169">
        <f>SUM(E29:E31)</f>
        <v>34</v>
      </c>
      <c r="F32" s="14"/>
      <c r="G32" s="169"/>
      <c r="H32" s="241"/>
      <c r="I32" s="192" t="s">
        <v>68</v>
      </c>
      <c r="J32" s="97">
        <v>1000</v>
      </c>
      <c r="K32" s="201"/>
      <c r="L32" s="201"/>
      <c r="M32" s="350"/>
      <c r="N32" s="11"/>
      <c r="O32" s="196" t="s">
        <v>48</v>
      </c>
      <c r="P32" s="10">
        <f>(P31*P23)/P22</f>
        <v>3.4074074074074074</v>
      </c>
      <c r="Q32" s="207"/>
      <c r="R32" s="11"/>
      <c r="S32" s="11"/>
      <c r="T32" s="11"/>
      <c r="U32" s="11"/>
      <c r="Z32" s="11"/>
      <c r="AA32" s="11"/>
      <c r="AB32" s="11"/>
      <c r="AC32" s="13"/>
    </row>
    <row r="33" spans="3:18" ht="15.75" x14ac:dyDescent="0.25">
      <c r="C33" s="146"/>
      <c r="D33" s="161" t="s">
        <v>155</v>
      </c>
      <c r="E33" s="150">
        <v>34.659999999999997</v>
      </c>
      <c r="F33" s="219"/>
      <c r="G33" s="176"/>
      <c r="H33" s="244"/>
      <c r="I33" s="258" t="s">
        <v>148</v>
      </c>
      <c r="J33" s="265" t="s">
        <v>149</v>
      </c>
      <c r="K33" s="188"/>
      <c r="L33" s="188"/>
      <c r="M33" s="343"/>
      <c r="N33" s="11"/>
      <c r="O33" s="196" t="s">
        <v>104</v>
      </c>
      <c r="P33" s="198">
        <f>P32*Input!D11</f>
        <v>27.25925925925926</v>
      </c>
      <c r="Q33" s="245"/>
    </row>
    <row r="34" spans="3:18" ht="18.75" x14ac:dyDescent="0.3">
      <c r="C34" s="146"/>
      <c r="D34" s="162" t="s">
        <v>151</v>
      </c>
      <c r="E34" s="170">
        <f>(E33/100)*E32</f>
        <v>11.784399999999998</v>
      </c>
      <c r="F34" s="221"/>
      <c r="G34" s="170"/>
      <c r="H34" s="206"/>
      <c r="I34" s="192" t="s">
        <v>69</v>
      </c>
      <c r="J34" s="96">
        <v>1.25</v>
      </c>
      <c r="K34" s="178"/>
      <c r="L34" s="178"/>
      <c r="M34" s="349"/>
      <c r="N34" s="11"/>
      <c r="O34" s="259" t="s">
        <v>47</v>
      </c>
      <c r="P34" s="252"/>
      <c r="Q34" s="246"/>
    </row>
    <row r="35" spans="3:18" ht="15.75" x14ac:dyDescent="0.25">
      <c r="C35" s="146"/>
      <c r="D35" s="233" t="s">
        <v>58</v>
      </c>
      <c r="E35" s="171"/>
      <c r="F35" s="222"/>
      <c r="G35" s="177"/>
      <c r="H35" s="247"/>
      <c r="I35" s="192" t="s">
        <v>157</v>
      </c>
      <c r="J35" s="96">
        <v>15</v>
      </c>
      <c r="K35" s="178"/>
      <c r="L35" s="178"/>
      <c r="M35" s="349"/>
      <c r="N35" s="11"/>
      <c r="O35" s="439" t="s">
        <v>165</v>
      </c>
      <c r="P35" s="95">
        <v>1.26</v>
      </c>
      <c r="Q35" s="143"/>
    </row>
    <row r="36" spans="3:18" ht="15.75" x14ac:dyDescent="0.25">
      <c r="C36" s="146"/>
      <c r="D36" s="161" t="s">
        <v>80</v>
      </c>
      <c r="E36" s="96">
        <v>6</v>
      </c>
      <c r="F36" s="223"/>
      <c r="G36" s="178"/>
      <c r="H36" s="241"/>
      <c r="I36" s="192" t="s">
        <v>68</v>
      </c>
      <c r="J36" s="96">
        <v>8</v>
      </c>
      <c r="K36" s="178"/>
      <c r="L36" s="178"/>
      <c r="M36" s="349"/>
      <c r="N36" s="11"/>
      <c r="O36" s="257" t="s">
        <v>73</v>
      </c>
      <c r="P36" s="437"/>
      <c r="Q36" s="207"/>
      <c r="R36" s="11"/>
    </row>
    <row r="37" spans="3:18" ht="15.75" x14ac:dyDescent="0.25">
      <c r="C37" s="146"/>
      <c r="D37" s="161" t="s">
        <v>78</v>
      </c>
      <c r="E37" s="228">
        <v>15</v>
      </c>
      <c r="F37" s="224"/>
      <c r="G37" s="179"/>
      <c r="H37" s="241"/>
      <c r="I37" s="258" t="s">
        <v>70</v>
      </c>
      <c r="J37" s="265" t="s">
        <v>149</v>
      </c>
      <c r="K37" s="188"/>
      <c r="L37" s="188"/>
      <c r="M37" s="343"/>
      <c r="N37" s="11"/>
      <c r="O37" s="196" t="s">
        <v>136</v>
      </c>
      <c r="P37" s="10">
        <f>((2000/J30)*(Input!$D$11*$P$35))/Input!$D$11</f>
        <v>31.5</v>
      </c>
      <c r="Q37" s="207"/>
      <c r="R37" s="11"/>
    </row>
    <row r="38" spans="3:18" x14ac:dyDescent="0.25">
      <c r="C38" s="146"/>
      <c r="D38" s="161" t="s">
        <v>79</v>
      </c>
      <c r="E38" s="228">
        <v>30</v>
      </c>
      <c r="F38" s="224"/>
      <c r="G38" s="179"/>
      <c r="H38" s="241"/>
      <c r="I38" s="192" t="s">
        <v>69</v>
      </c>
      <c r="J38" s="96">
        <v>0.8</v>
      </c>
      <c r="K38" s="178"/>
      <c r="L38" s="178"/>
      <c r="M38" s="349"/>
      <c r="N38" s="11"/>
      <c r="O38" s="196" t="s">
        <v>159</v>
      </c>
      <c r="P38" s="10">
        <f>((2000/J31)*(Input!$D$11*$P$35))/Input!$D$11</f>
        <v>1.68</v>
      </c>
      <c r="Q38" s="207"/>
      <c r="R38" s="11"/>
    </row>
    <row r="39" spans="3:18" x14ac:dyDescent="0.25">
      <c r="C39" s="146"/>
      <c r="D39" s="164" t="s">
        <v>56</v>
      </c>
      <c r="E39" s="172">
        <f>$E$36*E37</f>
        <v>90</v>
      </c>
      <c r="F39" s="15"/>
      <c r="G39" s="172"/>
      <c r="H39" s="206"/>
      <c r="I39" s="192" t="s">
        <v>157</v>
      </c>
      <c r="J39" s="150">
        <v>10</v>
      </c>
      <c r="K39" s="176"/>
      <c r="L39" s="176"/>
      <c r="M39" s="351"/>
      <c r="N39" s="11"/>
      <c r="O39" s="196" t="s">
        <v>135</v>
      </c>
      <c r="P39" s="10">
        <f>((2000/J32)*(Input!$D$11*$P$35))/Input!$D$11</f>
        <v>2.52</v>
      </c>
      <c r="Q39" s="207"/>
      <c r="R39" s="11"/>
    </row>
    <row r="40" spans="3:18" ht="15.75" x14ac:dyDescent="0.25">
      <c r="C40" s="146"/>
      <c r="D40" s="164" t="s">
        <v>57</v>
      </c>
      <c r="E40" s="172">
        <f>$E$36*E38</f>
        <v>180</v>
      </c>
      <c r="F40" s="15"/>
      <c r="G40" s="172"/>
      <c r="H40" s="206"/>
      <c r="I40" s="192" t="s">
        <v>68</v>
      </c>
      <c r="J40" s="150">
        <v>10</v>
      </c>
      <c r="K40" s="176"/>
      <c r="L40" s="176"/>
      <c r="M40" s="351"/>
      <c r="N40" s="11"/>
      <c r="O40" s="258" t="s">
        <v>45</v>
      </c>
      <c r="P40" s="251"/>
      <c r="Q40" s="207"/>
    </row>
    <row r="41" spans="3:18" ht="15.75" x14ac:dyDescent="0.25">
      <c r="C41" s="146"/>
      <c r="D41" s="234" t="s">
        <v>59</v>
      </c>
      <c r="E41" s="173"/>
      <c r="F41" s="222"/>
      <c r="G41" s="177"/>
      <c r="H41" s="241"/>
      <c r="I41" s="267" t="s">
        <v>94</v>
      </c>
      <c r="J41" s="268" t="s">
        <v>96</v>
      </c>
      <c r="K41" s="202"/>
      <c r="L41" s="202"/>
      <c r="M41" s="352"/>
      <c r="N41" s="11"/>
      <c r="O41" s="196" t="s">
        <v>140</v>
      </c>
      <c r="P41" s="197">
        <f>(P35*2000)</f>
        <v>2520</v>
      </c>
      <c r="Q41" s="243"/>
    </row>
    <row r="42" spans="3:18" x14ac:dyDescent="0.25">
      <c r="C42" s="146"/>
      <c r="D42" s="161" t="str">
        <f>D36</f>
        <v>$/lb.</v>
      </c>
      <c r="E42" s="226">
        <v>20</v>
      </c>
      <c r="F42" s="218"/>
      <c r="G42" s="175"/>
      <c r="H42" s="241"/>
      <c r="I42" s="192" t="s">
        <v>150</v>
      </c>
      <c r="J42" s="230">
        <v>30</v>
      </c>
      <c r="K42" s="176"/>
      <c r="L42" s="176"/>
      <c r="M42" s="351"/>
      <c r="N42" s="11"/>
      <c r="O42" s="196" t="s">
        <v>48</v>
      </c>
      <c r="P42" s="10">
        <f>(P41*P23)/P22</f>
        <v>1.8666666666666667</v>
      </c>
      <c r="Q42" s="207"/>
    </row>
    <row r="43" spans="3:18" x14ac:dyDescent="0.25">
      <c r="C43" s="146"/>
      <c r="D43" s="161" t="str">
        <f>D37</f>
        <v>lbs./acre to Drill</v>
      </c>
      <c r="E43" s="95">
        <v>7.5</v>
      </c>
      <c r="F43" s="225"/>
      <c r="G43" s="180"/>
      <c r="H43" s="241"/>
      <c r="I43" s="161" t="s">
        <v>40</v>
      </c>
      <c r="J43" s="96">
        <v>20</v>
      </c>
      <c r="K43" s="178"/>
      <c r="L43" s="178"/>
      <c r="M43" s="349"/>
      <c r="N43" s="11"/>
      <c r="O43" s="196" t="s">
        <v>49</v>
      </c>
      <c r="P43" s="198">
        <f>P42*Input!D11</f>
        <v>14.933333333333334</v>
      </c>
      <c r="Q43" s="245"/>
      <c r="R43" s="270"/>
    </row>
    <row r="44" spans="3:18" ht="15.75" x14ac:dyDescent="0.25">
      <c r="C44" s="146"/>
      <c r="D44" s="161" t="str">
        <f>D38</f>
        <v>lbs./acre to Broad Cast</v>
      </c>
      <c r="E44" s="95">
        <v>15</v>
      </c>
      <c r="F44" s="225"/>
      <c r="G44" s="180"/>
      <c r="H44" s="241"/>
      <c r="I44" s="161" t="s">
        <v>41</v>
      </c>
      <c r="J44" s="96">
        <v>15</v>
      </c>
      <c r="K44" s="178"/>
      <c r="L44" s="178"/>
      <c r="M44" s="349"/>
      <c r="N44" s="11"/>
      <c r="O44" s="250" t="s">
        <v>113</v>
      </c>
      <c r="Q44" s="143"/>
    </row>
    <row r="45" spans="3:18" x14ac:dyDescent="0.25">
      <c r="C45" s="146"/>
      <c r="D45" s="164" t="str">
        <f>D39</f>
        <v>$/acre to Drill</v>
      </c>
      <c r="E45" s="172">
        <f>$E$42*E43</f>
        <v>150</v>
      </c>
      <c r="F45" s="15"/>
      <c r="G45" s="172"/>
      <c r="H45" s="206"/>
      <c r="M45" s="353"/>
      <c r="O45" s="161" t="s">
        <v>141</v>
      </c>
      <c r="P45" s="96">
        <v>8</v>
      </c>
      <c r="Q45" s="207"/>
    </row>
    <row r="46" spans="3:18" x14ac:dyDescent="0.25">
      <c r="C46" s="146"/>
      <c r="D46" s="164" t="str">
        <f>D40</f>
        <v>$/acre to Broad Cast</v>
      </c>
      <c r="E46" s="172">
        <f>$E$42*E44</f>
        <v>300</v>
      </c>
      <c r="F46" s="15"/>
      <c r="G46" s="172"/>
      <c r="H46" s="206"/>
      <c r="M46" s="353"/>
      <c r="O46" s="161" t="s">
        <v>102</v>
      </c>
      <c r="P46" s="229">
        <v>7.0000000000000007E-2</v>
      </c>
      <c r="Q46" s="246"/>
    </row>
    <row r="47" spans="3:18" ht="4.9000000000000004" customHeight="1" thickBot="1" x14ac:dyDescent="0.3">
      <c r="C47" s="147"/>
      <c r="D47" s="148"/>
      <c r="E47" s="148"/>
      <c r="F47" s="211"/>
      <c r="H47" s="248"/>
      <c r="I47" s="148"/>
      <c r="J47" s="148"/>
      <c r="K47" s="249"/>
      <c r="L47" s="249"/>
      <c r="M47" s="249"/>
      <c r="N47" s="148"/>
      <c r="O47" s="148"/>
      <c r="P47" s="148"/>
      <c r="Q47" s="216"/>
    </row>
  </sheetData>
  <mergeCells count="11">
    <mergeCell ref="I15:P15"/>
    <mergeCell ref="D15:E15"/>
    <mergeCell ref="I8:J8"/>
    <mergeCell ref="I10:J10"/>
    <mergeCell ref="I11:J11"/>
    <mergeCell ref="D10:E10"/>
    <mergeCell ref="D11:E11"/>
    <mergeCell ref="O11:P11"/>
    <mergeCell ref="O8:P8"/>
    <mergeCell ref="O9:P9"/>
    <mergeCell ref="O10:P10"/>
  </mergeCells>
  <dataValidations count="4">
    <dataValidation type="list" showInputMessage="1" showErrorMessage="1" sqref="I11">
      <formula1>Irrigated</formula1>
    </dataValidation>
    <dataValidation type="list" showInputMessage="1" showErrorMessage="1" sqref="P23">
      <formula1>Harvest_Efficiency</formula1>
    </dataValidation>
    <dataValidation showInputMessage="1" showErrorMessage="1" sqref="P21"/>
    <dataValidation type="list" allowBlank="1" showInputMessage="1" showErrorMessage="1" sqref="E8">
      <formula1>Cuttings</formula1>
    </dataValidation>
  </dataValidations>
  <pageMargins left="0.25" right="0.25" top="0.75" bottom="0.75" header="0.3" footer="0.3"/>
  <pageSetup scale="74" orientation="landscape" r:id="rId1"/>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14:formula1>
            <xm:f>Notes!$B$2:$B$4</xm:f>
          </x14:formula1>
          <xm:sqref>O11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C27"/>
  <sheetViews>
    <sheetView showGridLines="0" showZeros="0" workbookViewId="0"/>
  </sheetViews>
  <sheetFormatPr defaultColWidth="8.7109375" defaultRowHeight="15.75" x14ac:dyDescent="0.25"/>
  <cols>
    <col min="1" max="1" width="8.7109375" style="281"/>
    <col min="2" max="2" width="2.7109375" style="281" customWidth="1"/>
    <col min="3" max="3" width="0.7109375" style="281" customWidth="1"/>
    <col min="4" max="4" width="30.140625" style="281" customWidth="1"/>
    <col min="5" max="5" width="0.7109375" style="281" customWidth="1"/>
    <col min="6" max="6" width="10.7109375" style="281" customWidth="1"/>
    <col min="7" max="7" width="0.7109375" style="281" customWidth="1"/>
    <col min="8" max="8" width="10.7109375" style="281" customWidth="1"/>
    <col min="9" max="10" width="0.7109375" style="281" customWidth="1"/>
    <col min="11" max="11" width="15.7109375" style="281" customWidth="1"/>
    <col min="12" max="13" width="0.7109375" style="281" customWidth="1"/>
    <col min="14" max="14" width="15.7109375" style="281" customWidth="1"/>
    <col min="15" max="16" width="0.7109375" style="281" customWidth="1"/>
    <col min="17" max="17" width="15.7109375" style="281" customWidth="1"/>
    <col min="18" max="19" width="0.7109375" style="281" customWidth="1"/>
    <col min="20" max="20" width="15.7109375" style="281" customWidth="1"/>
    <col min="21" max="21" width="0.7109375" style="281" customWidth="1"/>
    <col min="22" max="22" width="2.7109375" style="281" customWidth="1"/>
    <col min="23" max="24" width="15.7109375" style="281" customWidth="1"/>
    <col min="25" max="25" width="13.140625" style="281" customWidth="1"/>
    <col min="26" max="28" width="13.7109375" style="281" customWidth="1"/>
    <col min="29" max="29" width="10" style="281" customWidth="1"/>
    <col min="30" max="31" width="9" style="281" customWidth="1"/>
    <col min="32" max="32" width="10.42578125" style="281" customWidth="1"/>
    <col min="33" max="33" width="9.7109375" style="281" customWidth="1"/>
    <col min="34" max="34" width="9" style="281" customWidth="1"/>
    <col min="35" max="16384" width="8.7109375" style="281"/>
  </cols>
  <sheetData>
    <row r="2" spans="3:29" ht="23.25" x14ac:dyDescent="0.35">
      <c r="D2" s="301" t="s">
        <v>132</v>
      </c>
      <c r="E2" s="301"/>
      <c r="F2" s="301"/>
      <c r="G2" s="302"/>
      <c r="H2" s="301"/>
      <c r="I2" s="301"/>
      <c r="J2" s="301"/>
      <c r="K2" s="301"/>
      <c r="L2" s="301"/>
      <c r="M2" s="301"/>
      <c r="N2" s="301"/>
      <c r="O2" s="302"/>
      <c r="P2" s="302"/>
      <c r="Q2" s="301"/>
      <c r="R2" s="301"/>
      <c r="S2" s="301"/>
      <c r="T2" s="301"/>
    </row>
    <row r="3" spans="3:29" ht="23.25" x14ac:dyDescent="0.35">
      <c r="D3" s="303" t="s">
        <v>133</v>
      </c>
      <c r="E3" s="303"/>
    </row>
    <row r="4" spans="3:29" ht="15.4" customHeight="1" x14ac:dyDescent="0.35">
      <c r="D4" s="304" t="str">
        <f>Welcome!D4</f>
        <v>September 2015</v>
      </c>
      <c r="E4" s="304"/>
      <c r="F4" s="305"/>
      <c r="G4" s="306"/>
      <c r="H4" s="305"/>
      <c r="I4" s="305"/>
      <c r="J4" s="305"/>
      <c r="K4" s="305"/>
      <c r="L4" s="305"/>
      <c r="M4" s="305"/>
      <c r="N4" s="305"/>
      <c r="O4" s="306"/>
      <c r="P4" s="306"/>
      <c r="Q4" s="305"/>
      <c r="R4" s="305"/>
      <c r="S4" s="305"/>
      <c r="T4" s="305"/>
    </row>
    <row r="5" spans="3:29" ht="15.4" customHeight="1" x14ac:dyDescent="0.35">
      <c r="D5" s="307" t="str">
        <f>Input!D4</f>
        <v>Jesse Russell, Jeffrey E. Tranel, R. Brent Young, and Norman Dalsted - CSU Agricultural and Business Management Economists</v>
      </c>
      <c r="E5" s="307"/>
      <c r="F5" s="305"/>
      <c r="G5" s="306"/>
      <c r="H5" s="305"/>
      <c r="I5" s="305"/>
      <c r="J5" s="305"/>
      <c r="K5" s="305"/>
      <c r="L5" s="305"/>
      <c r="M5" s="305"/>
      <c r="N5" s="305"/>
      <c r="O5" s="306"/>
      <c r="P5" s="306"/>
      <c r="Q5" s="305"/>
      <c r="R5" s="305"/>
      <c r="S5" s="305"/>
      <c r="T5" s="305"/>
    </row>
    <row r="6" spans="3:29" ht="15.4" customHeight="1" x14ac:dyDescent="0.35">
      <c r="D6" s="307" t="str">
        <f>Input!D5</f>
        <v>www.coopext.colostate.edu/ABM/</v>
      </c>
      <c r="E6" s="307"/>
      <c r="F6" s="305"/>
      <c r="G6" s="306"/>
      <c r="H6" s="305"/>
      <c r="I6" s="305"/>
      <c r="J6" s="305"/>
      <c r="K6" s="305"/>
      <c r="L6" s="305"/>
      <c r="M6" s="305"/>
      <c r="N6" s="305"/>
      <c r="O6" s="306"/>
      <c r="P6" s="306"/>
      <c r="Q6" s="305"/>
      <c r="R6" s="305"/>
      <c r="S6" s="305"/>
      <c r="T6" s="305"/>
    </row>
    <row r="8" spans="3:29" ht="19.149999999999999" customHeight="1" thickBot="1" x14ac:dyDescent="0.3">
      <c r="D8" s="308" t="s">
        <v>55</v>
      </c>
      <c r="E8" s="308"/>
      <c r="F8" s="16"/>
      <c r="G8" s="16"/>
      <c r="H8" s="16"/>
      <c r="I8" s="16"/>
      <c r="J8" s="16"/>
      <c r="K8" s="16"/>
      <c r="L8" s="16"/>
      <c r="M8" s="16"/>
      <c r="N8" s="16"/>
      <c r="O8" s="16"/>
      <c r="P8" s="16"/>
      <c r="Q8" s="16"/>
      <c r="R8" s="16"/>
      <c r="S8" s="16"/>
      <c r="T8" s="16"/>
      <c r="U8" s="16"/>
      <c r="V8" s="16"/>
      <c r="W8" s="16"/>
      <c r="X8" s="16"/>
      <c r="AC8" s="17"/>
    </row>
    <row r="9" spans="3:29" ht="4.9000000000000004" customHeight="1" x14ac:dyDescent="0.25">
      <c r="C9" s="327"/>
      <c r="D9" s="328"/>
      <c r="E9" s="328"/>
      <c r="F9" s="329"/>
      <c r="G9" s="329"/>
      <c r="H9" s="329"/>
      <c r="I9" s="329"/>
      <c r="J9" s="329"/>
      <c r="K9" s="329"/>
      <c r="L9" s="329"/>
      <c r="M9" s="329"/>
      <c r="N9" s="329"/>
      <c r="O9" s="329"/>
      <c r="P9" s="329"/>
      <c r="Q9" s="329"/>
      <c r="R9" s="329"/>
      <c r="S9" s="329"/>
      <c r="T9" s="329"/>
      <c r="U9" s="330"/>
      <c r="V9" s="16"/>
      <c r="W9" s="16"/>
      <c r="X9" s="16"/>
      <c r="AC9" s="17"/>
    </row>
    <row r="10" spans="3:29" x14ac:dyDescent="0.25">
      <c r="C10" s="331"/>
      <c r="F10" s="282"/>
      <c r="G10" s="282"/>
      <c r="H10" s="282" t="s">
        <v>85</v>
      </c>
      <c r="I10" s="282"/>
      <c r="J10" s="322"/>
      <c r="K10" s="454" t="s">
        <v>43</v>
      </c>
      <c r="L10" s="454"/>
      <c r="M10" s="454"/>
      <c r="N10" s="454"/>
      <c r="O10" s="277"/>
      <c r="P10" s="276"/>
      <c r="Q10" s="454" t="s">
        <v>45</v>
      </c>
      <c r="R10" s="454"/>
      <c r="S10" s="454"/>
      <c r="T10" s="454"/>
      <c r="U10" s="332"/>
      <c r="V10" s="18"/>
      <c r="W10" s="18"/>
      <c r="X10" s="18"/>
      <c r="AC10" s="17"/>
    </row>
    <row r="11" spans="3:29" ht="15.4" customHeight="1" x14ac:dyDescent="0.25">
      <c r="C11" s="331"/>
      <c r="F11" s="283"/>
      <c r="G11" s="283"/>
      <c r="H11" s="283" t="s">
        <v>84</v>
      </c>
      <c r="I11" s="283"/>
      <c r="J11" s="323"/>
      <c r="K11" s="455" t="str">
        <f>Input!I11</f>
        <v>Irrigated</v>
      </c>
      <c r="L11" s="455"/>
      <c r="M11" s="455"/>
      <c r="N11" s="455"/>
      <c r="O11" s="20"/>
      <c r="P11" s="94"/>
      <c r="Q11" s="455" t="str">
        <f>Input!I11</f>
        <v>Irrigated</v>
      </c>
      <c r="R11" s="455"/>
      <c r="S11" s="455"/>
      <c r="T11" s="455"/>
      <c r="U11" s="333"/>
      <c r="V11" s="19"/>
      <c r="W11" s="19"/>
      <c r="X11" s="19"/>
    </row>
    <row r="12" spans="3:29" ht="16.149999999999999" customHeight="1" x14ac:dyDescent="0.25">
      <c r="C12" s="331"/>
      <c r="F12" s="309"/>
      <c r="G12" s="309"/>
      <c r="H12" s="309" t="s">
        <v>86</v>
      </c>
      <c r="I12" s="309"/>
      <c r="J12" s="324"/>
      <c r="K12" s="310" t="s">
        <v>82</v>
      </c>
      <c r="L12" s="310"/>
      <c r="M12" s="317"/>
      <c r="N12" s="310" t="s">
        <v>71</v>
      </c>
      <c r="O12" s="310"/>
      <c r="P12" s="317"/>
      <c r="Q12" s="310" t="s">
        <v>83</v>
      </c>
      <c r="R12" s="310"/>
      <c r="S12" s="317"/>
      <c r="T12" s="310" t="s">
        <v>71</v>
      </c>
      <c r="U12" s="334"/>
      <c r="V12" s="20"/>
      <c r="W12" s="20"/>
      <c r="X12" s="20"/>
    </row>
    <row r="13" spans="3:29" ht="16.149999999999999" customHeight="1" thickBot="1" x14ac:dyDescent="0.3">
      <c r="C13" s="331"/>
      <c r="D13" s="24" t="s">
        <v>109</v>
      </c>
      <c r="E13" s="18"/>
      <c r="F13" s="287" t="s">
        <v>161</v>
      </c>
      <c r="G13" s="277"/>
      <c r="H13" s="287" t="s">
        <v>33</v>
      </c>
      <c r="I13" s="277"/>
      <c r="J13" s="276"/>
      <c r="K13" s="287" t="s">
        <v>1</v>
      </c>
      <c r="L13" s="277"/>
      <c r="M13" s="276"/>
      <c r="N13" s="287" t="s">
        <v>1</v>
      </c>
      <c r="O13" s="277"/>
      <c r="P13" s="276"/>
      <c r="Q13" s="287" t="s">
        <v>1</v>
      </c>
      <c r="R13" s="277"/>
      <c r="S13" s="276"/>
      <c r="T13" s="287" t="s">
        <v>1</v>
      </c>
      <c r="U13" s="335"/>
      <c r="V13" s="288"/>
      <c r="W13" s="288"/>
      <c r="X13" s="288"/>
    </row>
    <row r="14" spans="3:29" ht="15.4" customHeight="1" x14ac:dyDescent="0.25">
      <c r="C14" s="331"/>
      <c r="D14" s="31" t="str">
        <f>Input!D19</f>
        <v>Chisel</v>
      </c>
      <c r="E14" s="31"/>
      <c r="F14" s="296">
        <v>1</v>
      </c>
      <c r="G14" s="294"/>
      <c r="H14" s="288">
        <f>Input!$D$11</f>
        <v>8</v>
      </c>
      <c r="I14" s="288"/>
      <c r="J14" s="325"/>
      <c r="K14" s="311">
        <f>IF(Input!$I$11="Irrigated",(Input!$E19*Input!$D$11*$F14),0)</f>
        <v>640</v>
      </c>
      <c r="L14" s="311"/>
      <c r="M14" s="298"/>
      <c r="N14" s="311">
        <f>IF(Input!$I$11="Irrigated",(Input!$E19*Input!$D$11*$F14),0)</f>
        <v>640</v>
      </c>
      <c r="O14" s="311"/>
      <c r="P14" s="298"/>
      <c r="Q14" s="311">
        <f>IF(Input!$I$11="Irrigated",(Input!$E19*Input!$D$11*$F14),0)</f>
        <v>640</v>
      </c>
      <c r="R14" s="311"/>
      <c r="S14" s="298"/>
      <c r="T14" s="311">
        <f>IF(Input!$I$11="Irrigated",(Input!$E19*Input!$D$11*$F14),0)</f>
        <v>640</v>
      </c>
      <c r="U14" s="336"/>
      <c r="V14" s="21"/>
      <c r="W14" s="288"/>
      <c r="X14" s="288"/>
    </row>
    <row r="15" spans="3:29" ht="15.4" customHeight="1" x14ac:dyDescent="0.25">
      <c r="C15" s="331"/>
      <c r="D15" s="31" t="str">
        <f>Input!D20</f>
        <v>Disc</v>
      </c>
      <c r="E15" s="31"/>
      <c r="F15" s="295">
        <v>1</v>
      </c>
      <c r="G15" s="294"/>
      <c r="H15" s="288">
        <f>Input!$D$11</f>
        <v>8</v>
      </c>
      <c r="I15" s="288"/>
      <c r="J15" s="325"/>
      <c r="K15" s="311">
        <f>IF(Input!$I$11="Irrigated",(Input!$E20*Input!$D$11*$F15),0)</f>
        <v>640</v>
      </c>
      <c r="L15" s="311"/>
      <c r="M15" s="298"/>
      <c r="N15" s="311">
        <f>IF(Input!$I$11="Irrigated",(Input!$E20*Input!$D$11*$F15),0)</f>
        <v>640</v>
      </c>
      <c r="O15" s="311"/>
      <c r="P15" s="298"/>
      <c r="Q15" s="311">
        <f>IF(Input!$I$11="Irrigated",(Input!$E20*Input!$D$11*$F15),0)</f>
        <v>640</v>
      </c>
      <c r="R15" s="311"/>
      <c r="S15" s="298"/>
      <c r="T15" s="311">
        <f>IF(Input!$I$11="Irrigated",(Input!$E20*Input!$D$11*$F15),0)</f>
        <v>640</v>
      </c>
      <c r="U15" s="336"/>
      <c r="V15" s="21"/>
      <c r="W15" s="21"/>
      <c r="X15" s="21"/>
    </row>
    <row r="16" spans="3:29" x14ac:dyDescent="0.25">
      <c r="C16" s="331"/>
      <c r="D16" s="31" t="str">
        <f>Input!D21</f>
        <v>Cultivating-Bedding</v>
      </c>
      <c r="E16" s="31"/>
      <c r="F16" s="295">
        <v>1</v>
      </c>
      <c r="G16" s="294"/>
      <c r="H16" s="288">
        <f>Input!$D$11</f>
        <v>8</v>
      </c>
      <c r="I16" s="288"/>
      <c r="J16" s="325"/>
      <c r="K16" s="311">
        <f>IF(Input!$I$11="Irrigated",(Input!$E21*Input!$D$11*$F16),0)</f>
        <v>480</v>
      </c>
      <c r="L16" s="311"/>
      <c r="M16" s="298"/>
      <c r="N16" s="311">
        <f>IF(Input!$I$11="Irrigated",(Input!$E21*Input!$D$11*$F16),0)</f>
        <v>480</v>
      </c>
      <c r="O16" s="311"/>
      <c r="P16" s="298"/>
      <c r="Q16" s="311">
        <f>IF(Input!$I$11="Irrigated",(Input!$E21*Input!$D$11*$F16),0)</f>
        <v>480</v>
      </c>
      <c r="R16" s="311"/>
      <c r="S16" s="298"/>
      <c r="T16" s="311">
        <f>IF(Input!$I$11="Irrigated",(Input!$E21*Input!$D$11*$F16),0)</f>
        <v>480</v>
      </c>
      <c r="U16" s="336"/>
      <c r="V16" s="21"/>
      <c r="W16" s="21"/>
      <c r="X16" s="21"/>
    </row>
    <row r="17" spans="3:24" ht="15.4" customHeight="1" x14ac:dyDescent="0.25">
      <c r="C17" s="331"/>
      <c r="D17" s="31" t="str">
        <f>Input!D22</f>
        <v>Roller Harrow</v>
      </c>
      <c r="E17" s="31"/>
      <c r="F17" s="295">
        <v>1</v>
      </c>
      <c r="G17" s="294"/>
      <c r="H17" s="288">
        <f>Input!$D$11</f>
        <v>8</v>
      </c>
      <c r="I17" s="288"/>
      <c r="J17" s="325"/>
      <c r="K17" s="311">
        <f>Input!$E22*Input!$D$11*$F17</f>
        <v>320</v>
      </c>
      <c r="L17" s="311"/>
      <c r="M17" s="298"/>
      <c r="N17" s="311">
        <f>Input!$E22*Input!$D$11*$F17</f>
        <v>320</v>
      </c>
      <c r="O17" s="311"/>
      <c r="P17" s="298"/>
      <c r="Q17" s="311">
        <f>Input!$E22*Input!$D$11*$F17</f>
        <v>320</v>
      </c>
      <c r="R17" s="311"/>
      <c r="S17" s="298"/>
      <c r="T17" s="311">
        <f>Input!$E22*Input!$D$11*$F17</f>
        <v>320</v>
      </c>
      <c r="U17" s="336"/>
      <c r="V17" s="21"/>
      <c r="W17" s="21"/>
      <c r="X17" s="21"/>
    </row>
    <row r="18" spans="3:24" x14ac:dyDescent="0.25">
      <c r="C18" s="331"/>
      <c r="D18" s="31" t="str">
        <f>Input!D23</f>
        <v>Landplane</v>
      </c>
      <c r="E18" s="31"/>
      <c r="F18" s="295">
        <v>1</v>
      </c>
      <c r="G18" s="294"/>
      <c r="H18" s="288">
        <f>Input!$D$11</f>
        <v>8</v>
      </c>
      <c r="I18" s="288"/>
      <c r="J18" s="325"/>
      <c r="K18" s="311">
        <f>IF(Input!$I$11="Irrigated",(Input!$E23*Input!$D$11*$F18),0)</f>
        <v>160</v>
      </c>
      <c r="L18" s="311"/>
      <c r="M18" s="298"/>
      <c r="N18" s="311">
        <f>IF(Input!$I$11="Irrigated",(Input!$E23*Input!$D$11*$F18),0)</f>
        <v>160</v>
      </c>
      <c r="O18" s="311"/>
      <c r="P18" s="298"/>
      <c r="Q18" s="311">
        <f>IF(Input!$I$11="Irrigated",(Input!$E23*Input!$D$11*$F18),0)</f>
        <v>160</v>
      </c>
      <c r="R18" s="311"/>
      <c r="S18" s="298"/>
      <c r="T18" s="311">
        <f>IF(Input!$I$11="Irrigated",(Input!$E23*Input!$D$11*$F18),0)</f>
        <v>160</v>
      </c>
      <c r="U18" s="336"/>
      <c r="V18" s="21"/>
      <c r="W18" s="288"/>
      <c r="X18" s="288"/>
    </row>
    <row r="19" spans="3:24" ht="15.4" customHeight="1" x14ac:dyDescent="0.25">
      <c r="C19" s="331"/>
      <c r="D19" s="31" t="str">
        <f>Input!D24</f>
        <v>Furrowing</v>
      </c>
      <c r="E19" s="31"/>
      <c r="F19" s="295">
        <v>1</v>
      </c>
      <c r="G19" s="294"/>
      <c r="H19" s="288">
        <f>Input!$D$11</f>
        <v>8</v>
      </c>
      <c r="I19" s="288"/>
      <c r="J19" s="325"/>
      <c r="K19" s="311">
        <f>IF(Input!$I$11="Irrigated",(Input!$E24*Input!$D$11*$F19),0)</f>
        <v>160</v>
      </c>
      <c r="L19" s="311"/>
      <c r="M19" s="298"/>
      <c r="N19" s="311">
        <f>IF(Input!$I$11="Irrigated",(Input!$E24*Input!$D$11*$F19),0)</f>
        <v>160</v>
      </c>
      <c r="O19" s="311"/>
      <c r="P19" s="298"/>
      <c r="Q19" s="311">
        <f>IF(Input!$I$11="Irrigated",(Input!$E24*Input!$D$11*$F19),0)</f>
        <v>160</v>
      </c>
      <c r="R19" s="311"/>
      <c r="S19" s="298"/>
      <c r="T19" s="311">
        <f>IF(Input!$I$11="Irrigated",(Input!$E24*Input!$D$11*$F19),0)</f>
        <v>160</v>
      </c>
      <c r="U19" s="337"/>
      <c r="V19" s="22"/>
    </row>
    <row r="20" spans="3:24" x14ac:dyDescent="0.25">
      <c r="C20" s="331"/>
      <c r="D20" s="31" t="str">
        <f>Input!D25</f>
        <v>Drilling</v>
      </c>
      <c r="E20" s="31"/>
      <c r="F20" s="295">
        <v>1</v>
      </c>
      <c r="G20" s="294"/>
      <c r="H20" s="288">
        <f>Input!$D$11</f>
        <v>8</v>
      </c>
      <c r="I20" s="288"/>
      <c r="J20" s="325"/>
      <c r="K20" s="311">
        <f>Input!$E25*Input!$D$11*$F20</f>
        <v>640</v>
      </c>
      <c r="L20" s="311"/>
      <c r="M20" s="298"/>
      <c r="N20" s="312"/>
      <c r="O20" s="312"/>
      <c r="P20" s="300"/>
      <c r="Q20" s="312">
        <f>Input!$E$25*Input!$D$11*F20</f>
        <v>640</v>
      </c>
      <c r="R20" s="312"/>
      <c r="S20" s="300"/>
      <c r="T20" s="312"/>
      <c r="U20" s="337"/>
      <c r="W20" s="22"/>
    </row>
    <row r="21" spans="3:24" x14ac:dyDescent="0.25">
      <c r="C21" s="331"/>
      <c r="D21" s="31" t="str">
        <f>Input!D26</f>
        <v>Broadcasting</v>
      </c>
      <c r="E21" s="31"/>
      <c r="F21" s="295">
        <v>1</v>
      </c>
      <c r="G21" s="294"/>
      <c r="H21" s="288">
        <f>Input!$D$11</f>
        <v>8</v>
      </c>
      <c r="I21" s="288"/>
      <c r="J21" s="325"/>
      <c r="K21" s="312"/>
      <c r="L21" s="312"/>
      <c r="M21" s="300"/>
      <c r="N21" s="312">
        <f>Input!$E$26*Input!$D$11*F21</f>
        <v>40</v>
      </c>
      <c r="O21" s="312"/>
      <c r="P21" s="300"/>
      <c r="Q21" s="312"/>
      <c r="R21" s="312"/>
      <c r="S21" s="300"/>
      <c r="T21" s="312">
        <f>Input!$E$26*Input!$D$11*F21</f>
        <v>40</v>
      </c>
      <c r="U21" s="338"/>
      <c r="V21" s="22"/>
      <c r="X21" s="22"/>
    </row>
    <row r="22" spans="3:24" x14ac:dyDescent="0.25">
      <c r="C22" s="331"/>
      <c r="D22" s="31" t="str">
        <f>Input!D27</f>
        <v>Fertilizer Application</v>
      </c>
      <c r="E22" s="31"/>
      <c r="F22" s="295">
        <v>1</v>
      </c>
      <c r="G22" s="294"/>
      <c r="H22" s="288">
        <f>Input!$D$11</f>
        <v>8</v>
      </c>
      <c r="I22" s="288"/>
      <c r="J22" s="325"/>
      <c r="K22" s="311">
        <f>Input!$D$11*Input!$E$27*$F22</f>
        <v>80</v>
      </c>
      <c r="L22" s="311"/>
      <c r="M22" s="298"/>
      <c r="N22" s="311">
        <f>Input!$D$11*Input!$E$27*$F22</f>
        <v>80</v>
      </c>
      <c r="O22" s="311"/>
      <c r="P22" s="298"/>
      <c r="Q22" s="311">
        <f>Input!$D$11*Input!$E$27*$F22</f>
        <v>80</v>
      </c>
      <c r="R22" s="311"/>
      <c r="S22" s="298"/>
      <c r="T22" s="311">
        <f>Input!$D$11*Input!$E$27*$F22</f>
        <v>80</v>
      </c>
      <c r="U22" s="336"/>
      <c r="V22" s="21"/>
      <c r="W22" s="21"/>
      <c r="X22" s="21"/>
    </row>
    <row r="23" spans="3:24" x14ac:dyDescent="0.25">
      <c r="C23" s="331"/>
      <c r="D23" s="31" t="s">
        <v>31</v>
      </c>
      <c r="E23" s="31"/>
      <c r="F23" s="294"/>
      <c r="G23" s="294"/>
      <c r="H23" s="288">
        <f>Input!$D$11</f>
        <v>8</v>
      </c>
      <c r="I23" s="288"/>
      <c r="J23" s="325"/>
      <c r="K23" s="311">
        <f>IF(Input!$I$11="Irrigated",(Input!$E$39*Input!$D$11),IF(Input!$I$11="Dry Land",(Input!$E$45*Input!$D$11)))</f>
        <v>720</v>
      </c>
      <c r="L23" s="311"/>
      <c r="M23" s="298"/>
      <c r="N23" s="311">
        <f>IF(Input!$I$11="Irrigated",(Input!$E$40*Input!$D$11),IF(Input!$I$11="Dry Land",(Input!$E$46*Input!$D$11)))</f>
        <v>1440</v>
      </c>
      <c r="O23" s="311"/>
      <c r="P23" s="298"/>
      <c r="Q23" s="311">
        <f>IF(Input!$I$11="Irrigated",(Input!$E$39*Input!$D$11),IF(Input!$I$11="Dry Land",(Input!$E$45*Input!$D$11)))</f>
        <v>720</v>
      </c>
      <c r="R23" s="311"/>
      <c r="S23" s="298"/>
      <c r="T23" s="311">
        <f>IF(Input!$I$11="Irrigated",(Input!$E$40*Input!$D$11),IF(Input!$I$11="Dry Land",(Input!$E$46*Input!$D$11)))</f>
        <v>1440</v>
      </c>
      <c r="U23" s="336"/>
      <c r="V23" s="21"/>
      <c r="W23" s="21"/>
      <c r="X23" s="21"/>
    </row>
    <row r="24" spans="3:24" x14ac:dyDescent="0.25">
      <c r="C24" s="331"/>
      <c r="D24" s="31" t="s">
        <v>30</v>
      </c>
      <c r="E24" s="31"/>
      <c r="F24" s="294"/>
      <c r="G24" s="294"/>
      <c r="H24" s="288">
        <f>Input!$D$11</f>
        <v>8</v>
      </c>
      <c r="I24" s="288"/>
      <c r="J24" s="325"/>
      <c r="K24" s="311">
        <f>Input!$E$34*Input!$D$11</f>
        <v>94.275199999999984</v>
      </c>
      <c r="L24" s="311"/>
      <c r="M24" s="298"/>
      <c r="N24" s="311">
        <f>Input!$E$34*Input!$D$11</f>
        <v>94.275199999999984</v>
      </c>
      <c r="O24" s="311"/>
      <c r="P24" s="298"/>
      <c r="Q24" s="311">
        <f>Input!$E$34*Input!$D$11</f>
        <v>94.275199999999984</v>
      </c>
      <c r="R24" s="311"/>
      <c r="S24" s="298"/>
      <c r="T24" s="311">
        <f>Input!$E$34*Input!$D$11</f>
        <v>94.275199999999984</v>
      </c>
      <c r="U24" s="336"/>
      <c r="V24" s="21"/>
      <c r="W24" s="21"/>
      <c r="X24" s="21"/>
    </row>
    <row r="25" spans="3:24" ht="16.5" thickBot="1" x14ac:dyDescent="0.3">
      <c r="C25" s="331"/>
      <c r="D25" s="24" t="s">
        <v>2</v>
      </c>
      <c r="E25" s="18"/>
      <c r="F25" s="24"/>
      <c r="G25" s="18"/>
      <c r="H25" s="24"/>
      <c r="I25" s="18"/>
      <c r="J25" s="93"/>
      <c r="K25" s="320">
        <f>SUM(K14:K24)</f>
        <v>3934.2752</v>
      </c>
      <c r="L25" s="313"/>
      <c r="M25" s="318"/>
      <c r="N25" s="320">
        <f>SUM(N14:N24)</f>
        <v>4054.2752</v>
      </c>
      <c r="O25" s="313"/>
      <c r="P25" s="318"/>
      <c r="Q25" s="320">
        <f>SUM(Q14:Q24)</f>
        <v>3934.2752</v>
      </c>
      <c r="R25" s="313"/>
      <c r="S25" s="318"/>
      <c r="T25" s="320">
        <f>SUM(T14:T24)</f>
        <v>4054.2752</v>
      </c>
      <c r="U25" s="339"/>
      <c r="V25" s="25"/>
      <c r="W25" s="25"/>
      <c r="X25" s="25"/>
    </row>
    <row r="26" spans="3:24" x14ac:dyDescent="0.25">
      <c r="C26" s="331"/>
      <c r="D26" s="314" t="s">
        <v>103</v>
      </c>
      <c r="E26" s="314"/>
      <c r="F26" s="315"/>
      <c r="G26" s="315"/>
      <c r="H26" s="315"/>
      <c r="I26" s="315"/>
      <c r="J26" s="326"/>
      <c r="K26" s="316">
        <f>K25/Input!$D$11</f>
        <v>491.78440000000001</v>
      </c>
      <c r="L26" s="316"/>
      <c r="M26" s="321"/>
      <c r="N26" s="316">
        <f>N25/Input!$D$11</f>
        <v>506.78440000000001</v>
      </c>
      <c r="O26" s="316"/>
      <c r="P26" s="321"/>
      <c r="Q26" s="316">
        <f>Q25/Input!$D$11</f>
        <v>491.78440000000001</v>
      </c>
      <c r="R26" s="316"/>
      <c r="S26" s="321"/>
      <c r="T26" s="316">
        <f>T25/Input!$D$11</f>
        <v>506.78440000000001</v>
      </c>
      <c r="U26" s="340"/>
      <c r="V26" s="26"/>
      <c r="W26" s="26"/>
      <c r="X26" s="26"/>
    </row>
    <row r="27" spans="3:24" ht="4.9000000000000004" customHeight="1" thickBot="1" x14ac:dyDescent="0.3">
      <c r="C27" s="341"/>
      <c r="D27" s="91"/>
      <c r="E27" s="91"/>
      <c r="F27" s="91"/>
      <c r="G27" s="91"/>
      <c r="H27" s="91"/>
      <c r="I27" s="91"/>
      <c r="J27" s="91"/>
      <c r="K27" s="91"/>
      <c r="L27" s="91"/>
      <c r="M27" s="91"/>
      <c r="N27" s="91"/>
      <c r="O27" s="91"/>
      <c r="P27" s="91"/>
      <c r="Q27" s="91"/>
      <c r="R27" s="91"/>
      <c r="S27" s="91"/>
      <c r="T27" s="91"/>
      <c r="U27" s="342"/>
    </row>
  </sheetData>
  <mergeCells count="4">
    <mergeCell ref="K10:N10"/>
    <mergeCell ref="Q10:T10"/>
    <mergeCell ref="K11:N11"/>
    <mergeCell ref="Q11:T11"/>
  </mergeCells>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E3B0C3DB-2F2F-4D44-86C4-5D4F3265BB9D}">
            <xm:f>NOT(ISERROR(SEARCH(Notes!$B$8,K11)))</xm:f>
            <xm:f>Notes!$B$8</xm:f>
            <x14:dxf>
              <fill>
                <patternFill>
                  <bgColor theme="9" tint="0.59996337778862885"/>
                </patternFill>
              </fill>
            </x14:dxf>
          </x14:cfRule>
          <x14:cfRule type="containsText" priority="2" operator="containsText" id="{F6D4E127-B2EB-4817-BAC9-821617B76522}">
            <xm:f>NOT(ISERROR(SEARCH(Notes!$B$7,K11)))</xm:f>
            <xm:f>Notes!$B$7</xm:f>
            <x14:dxf>
              <fill>
                <patternFill>
                  <bgColor theme="6" tint="0.59996337778862885"/>
                </patternFill>
              </fill>
            </x14:dxf>
          </x14:cfRule>
          <xm:sqref>K11:T11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97"/>
  <sheetViews>
    <sheetView showGridLines="0" showZeros="0" workbookViewId="0"/>
  </sheetViews>
  <sheetFormatPr defaultColWidth="8.7109375" defaultRowHeight="15.75" x14ac:dyDescent="0.25"/>
  <cols>
    <col min="1" max="1" width="8.7109375" style="5"/>
    <col min="2" max="2" width="2.7109375" style="5" customWidth="1"/>
    <col min="3" max="3" width="0.7109375" style="5" customWidth="1"/>
    <col min="4" max="4" width="28.7109375" style="5" customWidth="1"/>
    <col min="5" max="5" width="0.7109375" style="5" customWidth="1"/>
    <col min="6" max="6" width="15.7109375" style="5" customWidth="1"/>
    <col min="7" max="7" width="0.7109375" style="5" customWidth="1"/>
    <col min="8" max="8" width="15.7109375" style="5" customWidth="1"/>
    <col min="9" max="9" width="0.7109375" style="5" customWidth="1"/>
    <col min="10" max="10" width="15.7109375" style="5" customWidth="1"/>
    <col min="11" max="12" width="0.7109375" style="5" customWidth="1"/>
    <col min="13" max="13" width="15.7109375" style="5" customWidth="1"/>
    <col min="14" max="15" width="0.7109375" style="5" customWidth="1"/>
    <col min="16" max="16" width="15.7109375" style="5" customWidth="1"/>
    <col min="17" max="18" width="0.7109375" style="5" customWidth="1"/>
    <col min="19" max="19" width="15.7109375" style="5" customWidth="1"/>
    <col min="20" max="21" width="0.7109375" style="5" customWidth="1"/>
    <col min="22" max="22" width="15.7109375" style="5" customWidth="1"/>
    <col min="23" max="23" width="0.7109375" style="109" customWidth="1"/>
    <col min="24" max="24" width="2.7109375" style="5" customWidth="1"/>
    <col min="25" max="32" width="15.7109375" style="5" customWidth="1"/>
    <col min="33" max="34" width="8.7109375" style="5"/>
    <col min="35" max="36" width="9.7109375" style="5" customWidth="1"/>
    <col min="37" max="37" width="10.140625" style="5" customWidth="1"/>
    <col min="38" max="16384" width="8.7109375" style="5"/>
  </cols>
  <sheetData>
    <row r="1" spans="3:29" ht="15.4" customHeight="1" x14ac:dyDescent="0.25"/>
    <row r="2" spans="3:29" ht="25.15" customHeight="1" x14ac:dyDescent="0.4">
      <c r="D2" s="153" t="s">
        <v>81</v>
      </c>
    </row>
    <row r="3" spans="3:29" ht="25.15" customHeight="1" x14ac:dyDescent="0.25">
      <c r="D3" s="154" t="str">
        <f>Welcome!D4</f>
        <v>September 2015</v>
      </c>
    </row>
    <row r="4" spans="3:29" ht="15.4" customHeight="1" x14ac:dyDescent="0.25">
      <c r="D4" s="107" t="str">
        <f>Input!D4</f>
        <v>Jesse Russell, Jeffrey E. Tranel, R. Brent Young, and Norman Dalsted - CSU Agricultural and Business Management Economists</v>
      </c>
    </row>
    <row r="5" spans="3:29" ht="15.4" customHeight="1" x14ac:dyDescent="0.25">
      <c r="D5" s="107" t="str">
        <f>Input!D5</f>
        <v>www.coopext.colostate.edu/ABM/</v>
      </c>
    </row>
    <row r="6" spans="3:29" ht="15.4" customHeight="1" x14ac:dyDescent="0.25">
      <c r="D6" s="106"/>
    </row>
    <row r="7" spans="3:29" ht="25.15" customHeight="1" thickBot="1" x14ac:dyDescent="0.3">
      <c r="D7" s="308" t="s">
        <v>108</v>
      </c>
      <c r="E7" s="281"/>
      <c r="F7" s="281"/>
      <c r="G7" s="281"/>
      <c r="H7" s="281"/>
      <c r="I7" s="281"/>
      <c r="J7" s="281"/>
      <c r="K7" s="281"/>
      <c r="L7" s="281"/>
      <c r="M7" s="281"/>
      <c r="N7" s="281"/>
      <c r="O7" s="281"/>
      <c r="P7" s="281"/>
      <c r="Q7" s="281"/>
      <c r="R7" s="281"/>
      <c r="S7" s="281"/>
      <c r="T7" s="281"/>
      <c r="U7" s="281"/>
      <c r="V7" s="281"/>
    </row>
    <row r="8" spans="3:29" ht="4.9000000000000004" customHeight="1" x14ac:dyDescent="0.25">
      <c r="C8" s="327"/>
      <c r="D8" s="328"/>
      <c r="E8" s="369"/>
      <c r="F8" s="369"/>
      <c r="G8" s="369"/>
      <c r="H8" s="369"/>
      <c r="I8" s="369"/>
      <c r="J8" s="369"/>
      <c r="K8" s="369"/>
      <c r="L8" s="369"/>
      <c r="M8" s="369"/>
      <c r="N8" s="369"/>
      <c r="O8" s="369"/>
      <c r="P8" s="369"/>
      <c r="Q8" s="369"/>
      <c r="R8" s="369"/>
      <c r="S8" s="369"/>
      <c r="T8" s="369"/>
      <c r="U8" s="369"/>
      <c r="V8" s="369"/>
      <c r="W8" s="395"/>
    </row>
    <row r="9" spans="3:29" ht="17.649999999999999" customHeight="1" x14ac:dyDescent="0.25">
      <c r="C9" s="331"/>
      <c r="D9" s="18"/>
      <c r="E9" s="18"/>
      <c r="F9" s="18"/>
      <c r="G9" s="18"/>
      <c r="H9" s="18"/>
      <c r="I9" s="18"/>
      <c r="J9" s="28" t="s">
        <v>85</v>
      </c>
      <c r="K9" s="28"/>
      <c r="L9" s="401"/>
      <c r="M9" s="454" t="s">
        <v>43</v>
      </c>
      <c r="N9" s="454"/>
      <c r="O9" s="454"/>
      <c r="P9" s="454"/>
      <c r="Q9" s="277"/>
      <c r="R9" s="276"/>
      <c r="S9" s="454" t="s">
        <v>45</v>
      </c>
      <c r="T9" s="454"/>
      <c r="U9" s="454"/>
      <c r="V9" s="454"/>
      <c r="W9" s="332"/>
      <c r="X9" s="18"/>
      <c r="Y9" s="18"/>
      <c r="Z9" s="18"/>
      <c r="AA9" s="29"/>
      <c r="AB9" s="109"/>
    </row>
    <row r="10" spans="3:29" ht="17.649999999999999" customHeight="1" x14ac:dyDescent="0.25">
      <c r="C10" s="331"/>
      <c r="D10" s="18"/>
      <c r="E10" s="18"/>
      <c r="F10" s="18"/>
      <c r="G10" s="18"/>
      <c r="H10" s="18"/>
      <c r="I10" s="18"/>
      <c r="J10" s="30" t="s">
        <v>84</v>
      </c>
      <c r="K10" s="30"/>
      <c r="L10" s="135"/>
      <c r="M10" s="456" t="str">
        <f>Input!I11</f>
        <v>Irrigated</v>
      </c>
      <c r="N10" s="456"/>
      <c r="O10" s="456"/>
      <c r="P10" s="456"/>
      <c r="Q10" s="288"/>
      <c r="R10" s="325"/>
      <c r="S10" s="456" t="str">
        <f>Input!I11</f>
        <v>Irrigated</v>
      </c>
      <c r="T10" s="456"/>
      <c r="U10" s="456"/>
      <c r="V10" s="456"/>
      <c r="W10" s="372"/>
      <c r="X10" s="31"/>
      <c r="Y10" s="31"/>
      <c r="Z10" s="31"/>
      <c r="AA10" s="29"/>
      <c r="AB10" s="109"/>
    </row>
    <row r="11" spans="3:29" ht="17.649999999999999" customHeight="1" x14ac:dyDescent="0.25">
      <c r="C11" s="331"/>
      <c r="D11" s="18"/>
      <c r="E11" s="18"/>
      <c r="F11" s="18"/>
      <c r="G11" s="18"/>
      <c r="H11" s="18"/>
      <c r="I11" s="18"/>
      <c r="J11" s="83" t="s">
        <v>86</v>
      </c>
      <c r="K11" s="83"/>
      <c r="L11" s="402"/>
      <c r="M11" s="20" t="s">
        <v>82</v>
      </c>
      <c r="N11" s="20"/>
      <c r="O11" s="94"/>
      <c r="P11" s="20" t="s">
        <v>71</v>
      </c>
      <c r="Q11" s="20"/>
      <c r="R11" s="94"/>
      <c r="S11" s="20" t="s">
        <v>83</v>
      </c>
      <c r="T11" s="20"/>
      <c r="U11" s="94"/>
      <c r="V11" s="20" t="s">
        <v>71</v>
      </c>
      <c r="W11" s="334"/>
      <c r="X11" s="20"/>
      <c r="Y11" s="20"/>
      <c r="Z11" s="20"/>
      <c r="AA11" s="29"/>
      <c r="AB11" s="29"/>
      <c r="AC11" s="29"/>
    </row>
    <row r="12" spans="3:29" ht="17.649999999999999" customHeight="1" x14ac:dyDescent="0.25">
      <c r="C12" s="396"/>
      <c r="D12" s="18"/>
      <c r="E12" s="18"/>
      <c r="F12" s="18"/>
      <c r="G12" s="18"/>
      <c r="H12" s="277" t="s">
        <v>20</v>
      </c>
      <c r="I12" s="277"/>
      <c r="J12" s="277" t="s">
        <v>21</v>
      </c>
      <c r="K12" s="277"/>
      <c r="L12" s="276"/>
      <c r="M12" s="277" t="s">
        <v>22</v>
      </c>
      <c r="N12" s="277"/>
      <c r="O12" s="276"/>
      <c r="P12" s="277" t="s">
        <v>22</v>
      </c>
      <c r="Q12" s="277"/>
      <c r="R12" s="276"/>
      <c r="S12" s="277" t="s">
        <v>22</v>
      </c>
      <c r="T12" s="277"/>
      <c r="U12" s="276"/>
      <c r="V12" s="277" t="s">
        <v>22</v>
      </c>
      <c r="W12" s="397"/>
      <c r="X12" s="108"/>
      <c r="Y12" s="108"/>
      <c r="Z12" s="108"/>
      <c r="AA12" s="29"/>
      <c r="AB12" s="29"/>
      <c r="AC12" s="29"/>
    </row>
    <row r="13" spans="3:29" ht="17.649999999999999" customHeight="1" thickBot="1" x14ac:dyDescent="0.3">
      <c r="C13" s="331"/>
      <c r="D13" s="280" t="s">
        <v>27</v>
      </c>
      <c r="E13" s="18"/>
      <c r="F13" s="287" t="s">
        <v>23</v>
      </c>
      <c r="G13" s="277"/>
      <c r="H13" s="287" t="s">
        <v>1</v>
      </c>
      <c r="I13" s="277"/>
      <c r="J13" s="287" t="s">
        <v>24</v>
      </c>
      <c r="K13" s="277"/>
      <c r="L13" s="276"/>
      <c r="M13" s="287" t="s">
        <v>1</v>
      </c>
      <c r="N13" s="277"/>
      <c r="O13" s="276"/>
      <c r="P13" s="287" t="s">
        <v>1</v>
      </c>
      <c r="Q13" s="277"/>
      <c r="R13" s="276"/>
      <c r="S13" s="287" t="s">
        <v>1</v>
      </c>
      <c r="T13" s="277"/>
      <c r="U13" s="276"/>
      <c r="V13" s="287" t="s">
        <v>1</v>
      </c>
      <c r="W13" s="397"/>
      <c r="X13" s="108"/>
      <c r="Y13" s="108"/>
      <c r="Z13" s="108"/>
      <c r="AA13" s="29"/>
      <c r="AB13" s="29"/>
      <c r="AC13" s="29"/>
    </row>
    <row r="14" spans="3:29" ht="17.649999999999999" customHeight="1" x14ac:dyDescent="0.25">
      <c r="C14" s="331"/>
      <c r="D14" s="99" t="s">
        <v>105</v>
      </c>
      <c r="E14" s="99"/>
      <c r="F14" s="277"/>
      <c r="G14" s="277"/>
      <c r="H14" s="277"/>
      <c r="I14" s="277"/>
      <c r="J14" s="277"/>
      <c r="K14" s="277"/>
      <c r="L14" s="276"/>
      <c r="M14" s="277"/>
      <c r="N14" s="277"/>
      <c r="O14" s="276"/>
      <c r="P14" s="277"/>
      <c r="Q14" s="277"/>
      <c r="R14" s="276"/>
      <c r="S14" s="277"/>
      <c r="T14" s="277"/>
      <c r="U14" s="276"/>
      <c r="V14" s="277"/>
      <c r="W14" s="397"/>
      <c r="X14" s="108"/>
      <c r="Y14" s="108"/>
      <c r="Z14" s="108"/>
      <c r="AA14" s="29"/>
      <c r="AB14" s="29"/>
      <c r="AC14" s="29"/>
    </row>
    <row r="15" spans="3:29" ht="17.649999999999999" customHeight="1" x14ac:dyDescent="0.25">
      <c r="C15" s="331"/>
      <c r="D15" s="278" t="s">
        <v>25</v>
      </c>
      <c r="E15" s="31"/>
      <c r="F15" s="288" t="s">
        <v>33</v>
      </c>
      <c r="G15" s="288"/>
      <c r="H15" s="354">
        <f>Input!J24</f>
        <v>58.921999999999997</v>
      </c>
      <c r="I15" s="27"/>
      <c r="J15" s="20">
        <f>Input!$D$11</f>
        <v>8</v>
      </c>
      <c r="K15" s="20"/>
      <c r="L15" s="94"/>
      <c r="M15" s="354">
        <f>$H$15*$J$15</f>
        <v>471.37599999999998</v>
      </c>
      <c r="N15" s="354"/>
      <c r="O15" s="356"/>
      <c r="P15" s="354">
        <f>$H$15*$J$15</f>
        <v>471.37599999999998</v>
      </c>
      <c r="Q15" s="354"/>
      <c r="R15" s="356"/>
      <c r="S15" s="354">
        <f>IF($S$10="Irrigated",($H15*$J15),0)</f>
        <v>471.37599999999998</v>
      </c>
      <c r="T15" s="354"/>
      <c r="U15" s="356"/>
      <c r="V15" s="354">
        <f>IF($S$10="Irrigated",($H15*$J15),0)</f>
        <v>471.37599999999998</v>
      </c>
      <c r="W15" s="398"/>
      <c r="X15" s="27"/>
      <c r="Y15" s="27"/>
      <c r="Z15" s="27"/>
      <c r="AA15" s="109"/>
      <c r="AB15" s="109"/>
    </row>
    <row r="16" spans="3:29" ht="17.649999999999999" customHeight="1" x14ac:dyDescent="0.25">
      <c r="C16" s="331"/>
      <c r="D16" s="278" t="s">
        <v>36</v>
      </c>
      <c r="E16" s="31"/>
      <c r="F16" s="288" t="s">
        <v>33</v>
      </c>
      <c r="G16" s="288"/>
      <c r="H16" s="354">
        <f>Input!E27</f>
        <v>10</v>
      </c>
      <c r="I16" s="27"/>
      <c r="J16" s="20">
        <f>Input!$D$11</f>
        <v>8</v>
      </c>
      <c r="K16" s="20"/>
      <c r="L16" s="94"/>
      <c r="M16" s="354">
        <f>$H$16*$J$16</f>
        <v>80</v>
      </c>
      <c r="N16" s="354"/>
      <c r="O16" s="356"/>
      <c r="P16" s="354">
        <f>$H$16*$J$16</f>
        <v>80</v>
      </c>
      <c r="Q16" s="354"/>
      <c r="R16" s="356"/>
      <c r="S16" s="354">
        <f>IF($S$10="Irrigated",($H16*$J16),0)</f>
        <v>80</v>
      </c>
      <c r="T16" s="354"/>
      <c r="U16" s="356"/>
      <c r="V16" s="354">
        <f>IF($S$10="Irrigated",($H16*$J16),0)</f>
        <v>80</v>
      </c>
      <c r="W16" s="398"/>
      <c r="X16" s="27"/>
      <c r="Y16" s="27"/>
      <c r="Z16" s="27"/>
      <c r="AA16" s="109"/>
      <c r="AB16" s="109"/>
    </row>
    <row r="17" spans="3:33" ht="17.649999999999999" customHeight="1" x14ac:dyDescent="0.25">
      <c r="C17" s="331"/>
      <c r="D17" s="278" t="s">
        <v>26</v>
      </c>
      <c r="E17" s="31"/>
      <c r="F17" s="288" t="s">
        <v>33</v>
      </c>
      <c r="G17" s="288"/>
      <c r="H17" s="354">
        <f>Input!P45</f>
        <v>8</v>
      </c>
      <c r="I17" s="27"/>
      <c r="J17" s="20">
        <f>Input!$D$11</f>
        <v>8</v>
      </c>
      <c r="K17" s="20"/>
      <c r="L17" s="94"/>
      <c r="M17" s="354">
        <f>IF($M$10="Irrigated",($H$17*$J$17),0)</f>
        <v>64</v>
      </c>
      <c r="N17" s="354"/>
      <c r="O17" s="356"/>
      <c r="P17" s="354">
        <f>IF($M$10="Irrigated",($H$17*$J$17),0)</f>
        <v>64</v>
      </c>
      <c r="Q17" s="354"/>
      <c r="R17" s="356"/>
      <c r="S17" s="354">
        <f>IF($S$10="Irrigated",($H$17*$J$17),0)</f>
        <v>64</v>
      </c>
      <c r="T17" s="354"/>
      <c r="U17" s="356"/>
      <c r="V17" s="354">
        <f>IF($S$10="Irrigated",($H$17*$J$17),0)</f>
        <v>64</v>
      </c>
      <c r="W17" s="398"/>
      <c r="X17" s="27"/>
      <c r="Y17" s="27"/>
      <c r="Z17" s="27"/>
      <c r="AA17" s="109"/>
      <c r="AB17" s="109"/>
    </row>
    <row r="18" spans="3:33" ht="17.649999999999999" customHeight="1" x14ac:dyDescent="0.25">
      <c r="C18" s="331"/>
      <c r="D18" s="431" t="s">
        <v>34</v>
      </c>
      <c r="E18" s="19"/>
      <c r="F18" s="288" t="s">
        <v>33</v>
      </c>
      <c r="G18" s="288"/>
      <c r="H18" s="354">
        <f>Input!J27</f>
        <v>21</v>
      </c>
      <c r="I18" s="27"/>
      <c r="J18" s="20">
        <f>IF(Input!$I$11=Notes!$B$8,Input!$D$11,Input!$D$11*Input!$E$8)</f>
        <v>16</v>
      </c>
      <c r="K18" s="20"/>
      <c r="L18" s="94"/>
      <c r="M18" s="354">
        <f>$J18*$H18</f>
        <v>336</v>
      </c>
      <c r="N18" s="354"/>
      <c r="O18" s="356"/>
      <c r="P18" s="354">
        <f>$J18*$H18</f>
        <v>336</v>
      </c>
      <c r="Q18" s="354"/>
      <c r="R18" s="356"/>
      <c r="S18" s="354"/>
      <c r="T18" s="354"/>
      <c r="U18" s="356"/>
      <c r="V18" s="354"/>
      <c r="W18" s="398"/>
      <c r="X18" s="27"/>
      <c r="Y18" s="27"/>
      <c r="Z18" s="27"/>
      <c r="AA18" s="29"/>
      <c r="AB18" s="29"/>
      <c r="AC18" s="29"/>
    </row>
    <row r="19" spans="3:33" ht="17.649999999999999" customHeight="1" x14ac:dyDescent="0.25">
      <c r="C19" s="331"/>
      <c r="D19" s="431" t="s">
        <v>35</v>
      </c>
      <c r="E19" s="19"/>
      <c r="F19" s="288" t="s">
        <v>33</v>
      </c>
      <c r="G19" s="288"/>
      <c r="H19" s="354">
        <f>Input!J28</f>
        <v>8</v>
      </c>
      <c r="I19" s="27"/>
      <c r="J19" s="20">
        <f>IF(Input!$I$11=Notes!$B$8,Input!$D$11,Input!$D$11*Input!$E$8)</f>
        <v>16</v>
      </c>
      <c r="K19" s="20"/>
      <c r="L19" s="94"/>
      <c r="M19" s="354">
        <f>$J19*$H19</f>
        <v>128</v>
      </c>
      <c r="N19" s="354"/>
      <c r="O19" s="356"/>
      <c r="P19" s="354">
        <f>$J19*$H19</f>
        <v>128</v>
      </c>
      <c r="Q19" s="354"/>
      <c r="R19" s="356"/>
      <c r="S19" s="354"/>
      <c r="T19" s="354"/>
      <c r="U19" s="356"/>
      <c r="V19" s="354"/>
      <c r="W19" s="398"/>
      <c r="X19" s="27"/>
      <c r="Y19" s="27"/>
      <c r="Z19" s="27"/>
      <c r="AA19" s="109"/>
      <c r="AB19" s="109"/>
    </row>
    <row r="20" spans="3:33" ht="17.649999999999999" customHeight="1" x14ac:dyDescent="0.25">
      <c r="C20" s="331"/>
      <c r="D20" s="432" t="s">
        <v>32</v>
      </c>
      <c r="E20" s="34"/>
      <c r="F20" s="288"/>
      <c r="G20" s="288"/>
      <c r="H20" s="354"/>
      <c r="I20" s="27"/>
      <c r="J20" s="20"/>
      <c r="K20" s="20"/>
      <c r="L20" s="94"/>
      <c r="M20" s="354"/>
      <c r="N20" s="354"/>
      <c r="O20" s="356"/>
      <c r="P20" s="354"/>
      <c r="Q20" s="354"/>
      <c r="R20" s="356"/>
      <c r="S20" s="354"/>
      <c r="T20" s="354"/>
      <c r="U20" s="356"/>
      <c r="V20" s="354"/>
      <c r="W20" s="398"/>
      <c r="X20" s="27"/>
      <c r="Y20" s="27"/>
      <c r="Z20" s="27"/>
      <c r="AA20" s="32"/>
      <c r="AB20" s="109"/>
    </row>
    <row r="21" spans="3:33" ht="17.649999999999999" customHeight="1" x14ac:dyDescent="0.25">
      <c r="C21" s="331"/>
      <c r="D21" s="431" t="str">
        <f>Input!O11</f>
        <v>Small Square Bale</v>
      </c>
      <c r="E21" s="19"/>
      <c r="F21" s="288" t="s">
        <v>33</v>
      </c>
      <c r="G21" s="288"/>
      <c r="H21" s="354">
        <f>IF(Input!$O$11="Small Square Bale",(Notes!$C$13), IF(Input!$O$11="Big Square Bale",(Notes!$C$14), IF(Input!$O$11="Round Bale", (Notes!$C$15))))</f>
        <v>71.874999999999986</v>
      </c>
      <c r="I21" s="27"/>
      <c r="J21" s="20">
        <f>Input!$D$11</f>
        <v>8</v>
      </c>
      <c r="K21" s="20"/>
      <c r="L21" s="94"/>
      <c r="M21" s="354">
        <f>$H21*$J21</f>
        <v>574.99999999999989</v>
      </c>
      <c r="N21" s="354"/>
      <c r="O21" s="356"/>
      <c r="P21" s="354">
        <f>$H21*$J21</f>
        <v>574.99999999999989</v>
      </c>
      <c r="Q21" s="354"/>
      <c r="R21" s="356"/>
      <c r="S21" s="354"/>
      <c r="T21" s="354"/>
      <c r="U21" s="356"/>
      <c r="V21" s="354"/>
      <c r="W21" s="398"/>
      <c r="X21" s="27"/>
      <c r="Y21" s="27"/>
      <c r="Z21" s="27"/>
      <c r="AA21" s="32"/>
      <c r="AB21" s="109"/>
      <c r="AE21" s="109"/>
      <c r="AF21" s="109"/>
      <c r="AG21" s="109"/>
    </row>
    <row r="22" spans="3:33" ht="17.649999999999999" customHeight="1" x14ac:dyDescent="0.25">
      <c r="C22" s="331"/>
      <c r="D22" s="432" t="s">
        <v>70</v>
      </c>
      <c r="E22" s="34"/>
      <c r="F22" s="281"/>
      <c r="G22" s="281"/>
      <c r="H22" s="354"/>
      <c r="I22" s="27"/>
      <c r="J22" s="20"/>
      <c r="K22" s="20"/>
      <c r="L22" s="94"/>
      <c r="M22" s="354"/>
      <c r="N22" s="354"/>
      <c r="O22" s="356"/>
      <c r="P22" s="354"/>
      <c r="Q22" s="354"/>
      <c r="R22" s="356"/>
      <c r="S22" s="312"/>
      <c r="T22" s="312"/>
      <c r="U22" s="300"/>
      <c r="V22" s="312"/>
      <c r="W22" s="334"/>
      <c r="X22" s="20"/>
      <c r="Y22" s="20"/>
      <c r="Z22" s="20"/>
      <c r="AA22" s="32"/>
      <c r="AB22" s="109"/>
      <c r="AE22" s="109"/>
      <c r="AF22" s="109"/>
      <c r="AG22" s="109"/>
    </row>
    <row r="23" spans="3:33" ht="17.649999999999999" customHeight="1" x14ac:dyDescent="0.25">
      <c r="C23" s="331"/>
      <c r="D23" s="431" t="str">
        <f>Input!O11</f>
        <v>Small Square Bale</v>
      </c>
      <c r="E23" s="19"/>
      <c r="F23" s="288" t="s">
        <v>33</v>
      </c>
      <c r="G23" s="288"/>
      <c r="H23" s="354">
        <f>IF(Input!$O$11="Small Square Bale",(Notes!$C$20), IF(Input!$O$11="Big Square Bale",(Notes!$C$21), IF(Input!$O$11="Round Bale", (Notes!$C$22))))</f>
        <v>46</v>
      </c>
      <c r="I23" s="27"/>
      <c r="J23" s="20">
        <f>Input!$D$11</f>
        <v>8</v>
      </c>
      <c r="K23" s="20"/>
      <c r="L23" s="94"/>
      <c r="M23" s="354">
        <f>$H23*$J23</f>
        <v>368</v>
      </c>
      <c r="N23" s="354"/>
      <c r="O23" s="356"/>
      <c r="P23" s="354">
        <f>$H23*$J23</f>
        <v>368</v>
      </c>
      <c r="Q23" s="354"/>
      <c r="R23" s="356"/>
      <c r="S23" s="354"/>
      <c r="T23" s="354"/>
      <c r="U23" s="356"/>
      <c r="V23" s="354"/>
      <c r="W23" s="398"/>
      <c r="X23" s="27"/>
      <c r="Y23" s="27"/>
      <c r="Z23" s="27"/>
      <c r="AA23" s="32"/>
      <c r="AB23" s="109"/>
      <c r="AE23" s="109"/>
      <c r="AF23" s="27"/>
      <c r="AG23" s="109"/>
    </row>
    <row r="24" spans="3:33" ht="17.649999999999999" customHeight="1" x14ac:dyDescent="0.25">
      <c r="C24" s="331"/>
      <c r="D24" s="278" t="s">
        <v>42</v>
      </c>
      <c r="E24" s="31"/>
      <c r="F24" s="288" t="s">
        <v>33</v>
      </c>
      <c r="G24" s="288"/>
      <c r="H24" s="354">
        <f>((($M$17+$M$16+M15)/2)*'Net Present Value'!$G$15)/Input!D11</f>
        <v>2.6922700000000002</v>
      </c>
      <c r="I24" s="27"/>
      <c r="J24" s="20">
        <f>Input!$D$11</f>
        <v>8</v>
      </c>
      <c r="K24" s="20"/>
      <c r="L24" s="94"/>
      <c r="M24" s="354">
        <f>H24*J24</f>
        <v>21.538160000000001</v>
      </c>
      <c r="N24" s="354"/>
      <c r="O24" s="356"/>
      <c r="P24" s="354">
        <f>$M$24</f>
        <v>21.538160000000001</v>
      </c>
      <c r="Q24" s="354"/>
      <c r="R24" s="356"/>
      <c r="S24" s="354">
        <f>IF($S$10="Irrigated",$M$24,0)</f>
        <v>21.538160000000001</v>
      </c>
      <c r="T24" s="354"/>
      <c r="U24" s="356"/>
      <c r="V24" s="354">
        <f>IF($S$10="Irrigated",$M$24,0)</f>
        <v>21.538160000000001</v>
      </c>
      <c r="W24" s="338"/>
      <c r="X24" s="27"/>
      <c r="Y24" s="27"/>
      <c r="Z24" s="27"/>
      <c r="AA24" s="109"/>
      <c r="AB24" s="109"/>
    </row>
    <row r="25" spans="3:33" ht="17.649999999999999" customHeight="1" x14ac:dyDescent="0.25">
      <c r="C25" s="331"/>
      <c r="D25" s="433" t="s">
        <v>106</v>
      </c>
      <c r="E25" s="290"/>
      <c r="F25" s="286"/>
      <c r="G25" s="286"/>
      <c r="H25" s="355"/>
      <c r="I25" s="40"/>
      <c r="J25" s="279"/>
      <c r="K25" s="20"/>
      <c r="L25" s="94"/>
      <c r="M25" s="319">
        <f>SUM(M14:M24)</f>
        <v>2043.9141599999998</v>
      </c>
      <c r="N25" s="316"/>
      <c r="O25" s="321"/>
      <c r="P25" s="319">
        <f>SUM(P14:P24)</f>
        <v>2043.9141599999998</v>
      </c>
      <c r="Q25" s="316"/>
      <c r="R25" s="321"/>
      <c r="S25" s="319">
        <f>SUM(S14:S24)</f>
        <v>636.91415999999992</v>
      </c>
      <c r="T25" s="316"/>
      <c r="U25" s="321"/>
      <c r="V25" s="319">
        <f>SUM(V14:V24)</f>
        <v>636.91415999999992</v>
      </c>
      <c r="W25" s="398"/>
      <c r="X25" s="27"/>
      <c r="Y25" s="27"/>
      <c r="Z25" s="27"/>
      <c r="AA25" s="109"/>
      <c r="AB25" s="109"/>
    </row>
    <row r="26" spans="3:33" ht="17.649999999999999" customHeight="1" x14ac:dyDescent="0.25">
      <c r="C26" s="331"/>
      <c r="D26" s="99" t="s">
        <v>94</v>
      </c>
      <c r="E26" s="285"/>
      <c r="F26" s="288"/>
      <c r="G26" s="288"/>
      <c r="H26" s="354"/>
      <c r="I26" s="27"/>
      <c r="J26" s="20"/>
      <c r="K26" s="20"/>
      <c r="L26" s="94"/>
      <c r="M26" s="354"/>
      <c r="N26" s="354"/>
      <c r="O26" s="356"/>
      <c r="P26" s="354"/>
      <c r="Q26" s="354"/>
      <c r="R26" s="356"/>
      <c r="S26" s="354"/>
      <c r="T26" s="354"/>
      <c r="U26" s="356"/>
      <c r="V26" s="354"/>
      <c r="W26" s="398"/>
      <c r="X26" s="27"/>
      <c r="Y26" s="27"/>
      <c r="Z26" s="27"/>
      <c r="AA26" s="109"/>
      <c r="AB26" s="109"/>
    </row>
    <row r="27" spans="3:33" x14ac:dyDescent="0.25">
      <c r="C27" s="331"/>
      <c r="D27" s="284" t="s">
        <v>112</v>
      </c>
      <c r="E27" s="281"/>
      <c r="F27" s="288" t="s">
        <v>33</v>
      </c>
      <c r="G27" s="288"/>
      <c r="H27" s="312">
        <f>Input!J42</f>
        <v>30</v>
      </c>
      <c r="I27" s="22"/>
      <c r="J27" s="20">
        <f>Input!$D$11</f>
        <v>8</v>
      </c>
      <c r="K27" s="20"/>
      <c r="L27" s="94"/>
      <c r="M27" s="354">
        <f>$J$27*$H$27</f>
        <v>240</v>
      </c>
      <c r="N27" s="354"/>
      <c r="O27" s="356"/>
      <c r="P27" s="354">
        <f>$J$27*$H$27</f>
        <v>240</v>
      </c>
      <c r="Q27" s="354"/>
      <c r="R27" s="356"/>
      <c r="S27" s="354">
        <f>$J$27*$H$27</f>
        <v>240</v>
      </c>
      <c r="T27" s="354"/>
      <c r="U27" s="356"/>
      <c r="V27" s="354">
        <f>$J$27*$H$27</f>
        <v>240</v>
      </c>
      <c r="W27" s="338"/>
    </row>
    <row r="28" spans="3:33" ht="17.649999999999999" customHeight="1" x14ac:dyDescent="0.25">
      <c r="C28" s="331"/>
      <c r="D28" s="285" t="s">
        <v>40</v>
      </c>
      <c r="E28" s="31"/>
      <c r="F28" s="288" t="s">
        <v>33</v>
      </c>
      <c r="G28" s="288"/>
      <c r="H28" s="354">
        <f>Input!J43</f>
        <v>20</v>
      </c>
      <c r="I28" s="27"/>
      <c r="J28" s="20">
        <f>Input!$D$11</f>
        <v>8</v>
      </c>
      <c r="K28" s="20"/>
      <c r="L28" s="94"/>
      <c r="M28" s="354">
        <f>H28*J28</f>
        <v>160</v>
      </c>
      <c r="N28" s="354"/>
      <c r="O28" s="356"/>
      <c r="P28" s="354">
        <f>$M$28</f>
        <v>160</v>
      </c>
      <c r="Q28" s="354"/>
      <c r="R28" s="356"/>
      <c r="S28" s="354">
        <f>$M$28</f>
        <v>160</v>
      </c>
      <c r="T28" s="354"/>
      <c r="U28" s="356"/>
      <c r="V28" s="354">
        <f>$M$28</f>
        <v>160</v>
      </c>
      <c r="W28" s="398"/>
      <c r="X28" s="27"/>
      <c r="Y28" s="27"/>
      <c r="Z28" s="27"/>
      <c r="AA28" s="109"/>
      <c r="AB28" s="109"/>
    </row>
    <row r="29" spans="3:33" ht="17.649999999999999" customHeight="1" x14ac:dyDescent="0.25">
      <c r="C29" s="331"/>
      <c r="D29" s="285" t="s">
        <v>41</v>
      </c>
      <c r="E29" s="31"/>
      <c r="F29" s="288" t="s">
        <v>33</v>
      </c>
      <c r="G29" s="288"/>
      <c r="H29" s="354">
        <f>Input!J44</f>
        <v>15</v>
      </c>
      <c r="I29" s="27"/>
      <c r="J29" s="20">
        <f>Input!$D$11</f>
        <v>8</v>
      </c>
      <c r="K29" s="20"/>
      <c r="L29" s="94"/>
      <c r="M29" s="354">
        <f>H29*J29</f>
        <v>120</v>
      </c>
      <c r="N29" s="354"/>
      <c r="O29" s="356"/>
      <c r="P29" s="354">
        <f>$M$29</f>
        <v>120</v>
      </c>
      <c r="Q29" s="354"/>
      <c r="R29" s="356"/>
      <c r="S29" s="354">
        <f>$M$29</f>
        <v>120</v>
      </c>
      <c r="T29" s="354"/>
      <c r="U29" s="356"/>
      <c r="V29" s="354">
        <f>$M$29</f>
        <v>120</v>
      </c>
      <c r="W29" s="398"/>
      <c r="X29" s="27"/>
      <c r="Y29" s="27"/>
      <c r="Z29" s="27"/>
      <c r="AA29" s="109"/>
      <c r="AB29" s="109"/>
    </row>
    <row r="30" spans="3:33" ht="17.649999999999999" customHeight="1" x14ac:dyDescent="0.25">
      <c r="C30" s="331"/>
      <c r="D30" s="390" t="s">
        <v>107</v>
      </c>
      <c r="E30" s="290"/>
      <c r="F30" s="286"/>
      <c r="G30" s="286"/>
      <c r="H30" s="40"/>
      <c r="I30" s="40"/>
      <c r="J30" s="279"/>
      <c r="K30" s="20"/>
      <c r="L30" s="94"/>
      <c r="M30" s="319">
        <f>SUM(M28:M29)</f>
        <v>280</v>
      </c>
      <c r="N30" s="316"/>
      <c r="O30" s="321"/>
      <c r="P30" s="319">
        <f>SUM(P28:P29)</f>
        <v>280</v>
      </c>
      <c r="Q30" s="316"/>
      <c r="R30" s="321"/>
      <c r="S30" s="319">
        <f>SUM(S28:S29)</f>
        <v>280</v>
      </c>
      <c r="T30" s="316"/>
      <c r="U30" s="321"/>
      <c r="V30" s="319">
        <f>SUM(V28:V29)</f>
        <v>280</v>
      </c>
      <c r="W30" s="398"/>
      <c r="X30" s="27"/>
      <c r="Y30" s="27"/>
      <c r="Z30" s="27"/>
      <c r="AA30" s="109"/>
      <c r="AB30" s="109"/>
    </row>
    <row r="31" spans="3:33" ht="17.649999999999999" customHeight="1" thickBot="1" x14ac:dyDescent="0.35">
      <c r="C31" s="331"/>
      <c r="D31" s="391" t="s">
        <v>87</v>
      </c>
      <c r="E31" s="392"/>
      <c r="F31" s="393"/>
      <c r="G31" s="393"/>
      <c r="H31" s="393"/>
      <c r="I31" s="393"/>
      <c r="J31" s="393"/>
      <c r="K31" s="18"/>
      <c r="L31" s="93"/>
      <c r="M31" s="394">
        <f>M30+M25</f>
        <v>2323.9141599999998</v>
      </c>
      <c r="N31" s="313"/>
      <c r="O31" s="318"/>
      <c r="P31" s="394">
        <f>P30+P25</f>
        <v>2323.9141599999998</v>
      </c>
      <c r="Q31" s="313"/>
      <c r="R31" s="318"/>
      <c r="S31" s="394">
        <f>S30+S25</f>
        <v>916.91415999999992</v>
      </c>
      <c r="T31" s="313"/>
      <c r="U31" s="318"/>
      <c r="V31" s="394">
        <f>V30+V25</f>
        <v>916.91415999999992</v>
      </c>
      <c r="W31" s="399"/>
      <c r="X31" s="33"/>
      <c r="Y31" s="33"/>
      <c r="Z31" s="33"/>
      <c r="AA31" s="34"/>
      <c r="AB31" s="34"/>
    </row>
    <row r="32" spans="3:33" ht="4.9000000000000004" customHeight="1" thickBot="1" x14ac:dyDescent="0.35">
      <c r="C32" s="341"/>
      <c r="D32" s="103"/>
      <c r="E32" s="280"/>
      <c r="F32" s="24"/>
      <c r="G32" s="24"/>
      <c r="H32" s="24"/>
      <c r="I32" s="24"/>
      <c r="J32" s="24"/>
      <c r="K32" s="24"/>
      <c r="L32" s="24"/>
      <c r="M32" s="320"/>
      <c r="N32" s="320"/>
      <c r="O32" s="320"/>
      <c r="P32" s="320"/>
      <c r="Q32" s="320"/>
      <c r="R32" s="320"/>
      <c r="S32" s="320"/>
      <c r="T32" s="320"/>
      <c r="U32" s="320"/>
      <c r="V32" s="320"/>
      <c r="W32" s="400"/>
      <c r="X32" s="33"/>
      <c r="Y32" s="33"/>
      <c r="Z32" s="33"/>
      <c r="AA32" s="34"/>
      <c r="AB32" s="34"/>
    </row>
    <row r="33" spans="3:28" ht="17.649999999999999" customHeight="1" x14ac:dyDescent="0.3">
      <c r="C33" s="271"/>
      <c r="D33" s="383"/>
      <c r="E33" s="99"/>
      <c r="F33" s="18"/>
      <c r="G33" s="18"/>
      <c r="H33" s="18"/>
      <c r="I33" s="18"/>
      <c r="J33" s="18"/>
      <c r="K33" s="18"/>
      <c r="L33" s="18"/>
      <c r="M33" s="384"/>
      <c r="N33" s="384"/>
      <c r="O33" s="384"/>
      <c r="P33" s="384"/>
      <c r="Q33" s="384"/>
      <c r="R33" s="384"/>
      <c r="S33" s="384"/>
      <c r="T33" s="384"/>
      <c r="U33" s="384"/>
      <c r="V33" s="384"/>
      <c r="W33" s="33"/>
      <c r="X33" s="33"/>
      <c r="Y33" s="33"/>
      <c r="Z33" s="33"/>
      <c r="AA33" s="34"/>
      <c r="AB33" s="34"/>
    </row>
    <row r="34" spans="3:28" ht="19.149999999999999" customHeight="1" thickBot="1" x14ac:dyDescent="0.3">
      <c r="C34" s="281"/>
      <c r="D34" s="308" t="s">
        <v>77</v>
      </c>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3:28" ht="4.9000000000000004" customHeight="1" x14ac:dyDescent="0.25">
      <c r="C35" s="327"/>
      <c r="D35" s="328"/>
      <c r="E35" s="329"/>
      <c r="F35" s="329"/>
      <c r="G35" s="329"/>
      <c r="H35" s="329"/>
      <c r="I35" s="329"/>
      <c r="J35" s="329"/>
      <c r="K35" s="329"/>
      <c r="L35" s="329"/>
      <c r="M35" s="329"/>
      <c r="N35" s="329"/>
      <c r="O35" s="329"/>
      <c r="P35" s="329"/>
      <c r="Q35" s="329"/>
      <c r="R35" s="329"/>
      <c r="S35" s="329"/>
      <c r="T35" s="329"/>
      <c r="U35" s="329"/>
      <c r="V35" s="329"/>
      <c r="W35" s="330"/>
      <c r="X35" s="16"/>
      <c r="Y35" s="16"/>
      <c r="Z35" s="16"/>
      <c r="AA35" s="16"/>
      <c r="AB35" s="16"/>
    </row>
    <row r="36" spans="3:28" ht="17.649999999999999" customHeight="1" x14ac:dyDescent="0.25">
      <c r="C36" s="331"/>
      <c r="D36" s="99"/>
      <c r="E36" s="99"/>
      <c r="F36" s="28"/>
      <c r="G36" s="28"/>
      <c r="H36" s="28"/>
      <c r="I36" s="28"/>
      <c r="J36" s="28" t="s">
        <v>85</v>
      </c>
      <c r="K36" s="28"/>
      <c r="L36" s="401"/>
      <c r="M36" s="454" t="s">
        <v>43</v>
      </c>
      <c r="N36" s="454"/>
      <c r="O36" s="454"/>
      <c r="P36" s="454"/>
      <c r="Q36" s="277"/>
      <c r="R36" s="276"/>
      <c r="S36" s="454" t="s">
        <v>45</v>
      </c>
      <c r="T36" s="454"/>
      <c r="U36" s="454"/>
      <c r="V36" s="454"/>
      <c r="W36" s="332"/>
      <c r="X36" s="18"/>
      <c r="Y36" s="18"/>
      <c r="Z36" s="18"/>
      <c r="AA36" s="110"/>
      <c r="AB36" s="110"/>
    </row>
    <row r="37" spans="3:28" ht="17.649999999999999" customHeight="1" x14ac:dyDescent="0.25">
      <c r="C37" s="331"/>
      <c r="D37" s="99"/>
      <c r="E37" s="99"/>
      <c r="F37" s="28"/>
      <c r="G37" s="28"/>
      <c r="H37" s="28"/>
      <c r="I37" s="28"/>
      <c r="J37" s="30" t="s">
        <v>84</v>
      </c>
      <c r="K37" s="30"/>
      <c r="L37" s="135"/>
      <c r="M37" s="456" t="str">
        <f>Input!I11</f>
        <v>Irrigated</v>
      </c>
      <c r="N37" s="456"/>
      <c r="O37" s="456"/>
      <c r="P37" s="456"/>
      <c r="Q37" s="288"/>
      <c r="R37" s="325"/>
      <c r="S37" s="456" t="str">
        <f>Input!I11</f>
        <v>Irrigated</v>
      </c>
      <c r="T37" s="456"/>
      <c r="U37" s="456"/>
      <c r="V37" s="456"/>
      <c r="W37" s="372"/>
      <c r="X37" s="31"/>
      <c r="Y37" s="31"/>
      <c r="Z37" s="31"/>
      <c r="AA37" s="110"/>
      <c r="AB37" s="110"/>
    </row>
    <row r="38" spans="3:28" x14ac:dyDescent="0.25">
      <c r="C38" s="331"/>
      <c r="D38" s="104"/>
      <c r="E38" s="104"/>
      <c r="F38" s="281"/>
      <c r="G38" s="281"/>
      <c r="H38" s="281"/>
      <c r="I38" s="281"/>
      <c r="J38" s="83" t="s">
        <v>86</v>
      </c>
      <c r="K38" s="83"/>
      <c r="L38" s="402"/>
      <c r="M38" s="20" t="s">
        <v>82</v>
      </c>
      <c r="N38" s="20"/>
      <c r="O38" s="94"/>
      <c r="P38" s="20" t="s">
        <v>71</v>
      </c>
      <c r="Q38" s="20"/>
      <c r="R38" s="94"/>
      <c r="S38" s="20" t="s">
        <v>83</v>
      </c>
      <c r="T38" s="20"/>
      <c r="U38" s="94"/>
      <c r="V38" s="20" t="s">
        <v>71</v>
      </c>
      <c r="W38" s="334"/>
      <c r="X38" s="20"/>
      <c r="Y38" s="20"/>
      <c r="Z38" s="20"/>
      <c r="AA38" s="109"/>
      <c r="AB38" s="109"/>
    </row>
    <row r="39" spans="3:28" x14ac:dyDescent="0.25">
      <c r="C39" s="331"/>
      <c r="D39" s="104"/>
      <c r="E39" s="104"/>
      <c r="F39" s="281"/>
      <c r="G39" s="281"/>
      <c r="H39" s="281"/>
      <c r="I39" s="281"/>
      <c r="J39" s="358" t="s">
        <v>21</v>
      </c>
      <c r="K39" s="83"/>
      <c r="L39" s="402"/>
      <c r="M39" s="20"/>
      <c r="N39" s="20"/>
      <c r="O39" s="94"/>
      <c r="P39" s="20"/>
      <c r="Q39" s="20"/>
      <c r="R39" s="94"/>
      <c r="S39" s="20"/>
      <c r="T39" s="20"/>
      <c r="U39" s="94"/>
      <c r="V39" s="20"/>
      <c r="W39" s="334"/>
      <c r="X39" s="20"/>
      <c r="Y39" s="20"/>
      <c r="Z39" s="20"/>
      <c r="AA39" s="281"/>
      <c r="AB39" s="281"/>
    </row>
    <row r="40" spans="3:28" ht="17.649999999999999" customHeight="1" thickBot="1" x14ac:dyDescent="0.3">
      <c r="C40" s="331"/>
      <c r="D40" s="105" t="s">
        <v>53</v>
      </c>
      <c r="E40" s="385"/>
      <c r="F40" s="35" t="s">
        <v>23</v>
      </c>
      <c r="G40" s="386"/>
      <c r="H40" s="35" t="s">
        <v>54</v>
      </c>
      <c r="I40" s="386"/>
      <c r="J40" s="35" t="s">
        <v>24</v>
      </c>
      <c r="K40" s="386"/>
      <c r="L40" s="421"/>
      <c r="M40" s="35" t="s">
        <v>76</v>
      </c>
      <c r="N40" s="386"/>
      <c r="O40" s="421"/>
      <c r="P40" s="35" t="s">
        <v>76</v>
      </c>
      <c r="Q40" s="386"/>
      <c r="R40" s="421"/>
      <c r="S40" s="35" t="s">
        <v>76</v>
      </c>
      <c r="T40" s="386"/>
      <c r="U40" s="421"/>
      <c r="V40" s="35" t="s">
        <v>76</v>
      </c>
      <c r="W40" s="403"/>
      <c r="X40" s="36"/>
      <c r="Y40" s="36"/>
      <c r="Z40" s="36"/>
      <c r="AA40" s="37"/>
      <c r="AB40" s="37"/>
    </row>
    <row r="41" spans="3:28" ht="17.649999999999999" customHeight="1" x14ac:dyDescent="0.25">
      <c r="C41" s="331"/>
      <c r="D41" s="278" t="s">
        <v>29</v>
      </c>
      <c r="E41" s="31"/>
      <c r="F41" s="288" t="s">
        <v>44</v>
      </c>
      <c r="G41" s="288"/>
      <c r="H41" s="354">
        <f>Input!P20</f>
        <v>30</v>
      </c>
      <c r="I41" s="27"/>
      <c r="J41" s="38">
        <f>IF(Input!$I$11="Irrigated",(Input!$P$33),IF(Input!$I$11="Dry Land",Input!$P$43))</f>
        <v>27.25925925925926</v>
      </c>
      <c r="K41" s="38"/>
      <c r="L41" s="425"/>
      <c r="M41" s="354"/>
      <c r="N41" s="354"/>
      <c r="O41" s="356"/>
      <c r="P41" s="354"/>
      <c r="Q41" s="354"/>
      <c r="R41" s="356"/>
      <c r="S41" s="354">
        <f>$J$41*$H$41</f>
        <v>817.77777777777783</v>
      </c>
      <c r="T41" s="354"/>
      <c r="U41" s="356"/>
      <c r="V41" s="354">
        <f>$J$41*$H$41</f>
        <v>817.77777777777783</v>
      </c>
      <c r="W41" s="404"/>
      <c r="X41" s="39"/>
      <c r="Y41" s="39"/>
      <c r="Z41" s="39"/>
      <c r="AA41" s="32"/>
      <c r="AB41" s="37"/>
    </row>
    <row r="42" spans="3:28" ht="17.649999999999999" customHeight="1" x14ac:dyDescent="0.25">
      <c r="C42" s="331"/>
      <c r="D42" s="278" t="s">
        <v>28</v>
      </c>
      <c r="E42" s="31"/>
      <c r="F42" s="288" t="s">
        <v>46</v>
      </c>
      <c r="G42" s="288"/>
      <c r="H42" s="354">
        <f>Input!P18</f>
        <v>170</v>
      </c>
      <c r="I42" s="27"/>
      <c r="J42" s="288">
        <f>IF(Input!$I$11="Irrigated",(Input!P25*Input!D11),IF(Input!$I$11="Dry Land",(Input!P35*Input!D11)))</f>
        <v>18.399999999999999</v>
      </c>
      <c r="K42" s="288"/>
      <c r="L42" s="325"/>
      <c r="M42" s="354">
        <f>J42*H42</f>
        <v>3127.9999999999995</v>
      </c>
      <c r="N42" s="354"/>
      <c r="O42" s="356"/>
      <c r="P42" s="354">
        <f>M42</f>
        <v>3127.9999999999995</v>
      </c>
      <c r="Q42" s="354"/>
      <c r="R42" s="356"/>
      <c r="S42" s="354"/>
      <c r="T42" s="354"/>
      <c r="U42" s="356"/>
      <c r="V42" s="354"/>
      <c r="W42" s="404"/>
      <c r="X42" s="39"/>
      <c r="Y42" s="39"/>
      <c r="Z42" s="39"/>
      <c r="AA42" s="32"/>
      <c r="AB42" s="37"/>
    </row>
    <row r="43" spans="3:28" ht="17.649999999999999" customHeight="1" x14ac:dyDescent="0.25">
      <c r="C43" s="331"/>
      <c r="D43" s="433" t="s">
        <v>89</v>
      </c>
      <c r="E43" s="415"/>
      <c r="F43" s="416"/>
      <c r="G43" s="416"/>
      <c r="H43" s="416"/>
      <c r="I43" s="416"/>
      <c r="J43" s="297"/>
      <c r="K43" s="281"/>
      <c r="L43" s="23"/>
      <c r="M43" s="319">
        <f>SUM(M41:M42)</f>
        <v>3127.9999999999995</v>
      </c>
      <c r="N43" s="316"/>
      <c r="O43" s="321"/>
      <c r="P43" s="319">
        <f>SUM(P41:P42)</f>
        <v>3127.9999999999995</v>
      </c>
      <c r="Q43" s="316"/>
      <c r="R43" s="321"/>
      <c r="S43" s="319">
        <f>SUM(S41:S42)</f>
        <v>817.77777777777783</v>
      </c>
      <c r="T43" s="316"/>
      <c r="U43" s="321"/>
      <c r="V43" s="319">
        <f>SUM(V41:V42)</f>
        <v>817.77777777777783</v>
      </c>
      <c r="W43" s="405"/>
      <c r="X43" s="41"/>
      <c r="Y43" s="41"/>
      <c r="Z43" s="41"/>
      <c r="AA43" s="34"/>
      <c r="AB43" s="34"/>
    </row>
    <row r="44" spans="3:28" ht="17.649999999999999" customHeight="1" thickBot="1" x14ac:dyDescent="0.35">
      <c r="C44" s="331"/>
      <c r="D44" s="42" t="s">
        <v>88</v>
      </c>
      <c r="E44" s="412"/>
      <c r="F44" s="412"/>
      <c r="G44" s="412"/>
      <c r="H44" s="412"/>
      <c r="I44" s="412"/>
      <c r="J44" s="413"/>
      <c r="K44" s="387"/>
      <c r="L44" s="426"/>
      <c r="M44" s="414">
        <f>M43-M31</f>
        <v>804.08583999999973</v>
      </c>
      <c r="N44" s="388"/>
      <c r="O44" s="422"/>
      <c r="P44" s="414">
        <f>P43-P31</f>
        <v>804.08583999999973</v>
      </c>
      <c r="Q44" s="388"/>
      <c r="R44" s="422"/>
      <c r="S44" s="414">
        <f>S43-S31</f>
        <v>-99.136382222222096</v>
      </c>
      <c r="T44" s="388"/>
      <c r="U44" s="422"/>
      <c r="V44" s="414">
        <f>V43-V31</f>
        <v>-99.136382222222096</v>
      </c>
      <c r="W44" s="409"/>
      <c r="X44" s="44"/>
      <c r="Y44" s="44"/>
      <c r="Z44" s="44"/>
      <c r="AA44" s="457"/>
      <c r="AB44" s="457"/>
    </row>
    <row r="45" spans="3:28" ht="17.649999999999999" customHeight="1" thickBot="1" x14ac:dyDescent="0.3">
      <c r="C45" s="331"/>
      <c r="D45" s="19"/>
      <c r="E45" s="19"/>
      <c r="F45" s="19"/>
      <c r="G45" s="19"/>
      <c r="H45" s="19"/>
      <c r="I45" s="19"/>
      <c r="J45" s="83" t="s">
        <v>163</v>
      </c>
      <c r="K45" s="83"/>
      <c r="L45" s="402"/>
      <c r="M45" s="312">
        <f>M44/Input!$D$11</f>
        <v>100.51072999999997</v>
      </c>
      <c r="N45" s="312"/>
      <c r="O45" s="300"/>
      <c r="P45" s="312">
        <f>P44/Input!$D$11</f>
        <v>100.51072999999997</v>
      </c>
      <c r="Q45" s="312"/>
      <c r="R45" s="300"/>
      <c r="S45" s="312">
        <f>S44/Input!$D$11</f>
        <v>-12.392047777777762</v>
      </c>
      <c r="T45" s="312"/>
      <c r="U45" s="300"/>
      <c r="V45" s="312">
        <f>V44/Input!$D$11</f>
        <v>-12.392047777777762</v>
      </c>
      <c r="W45" s="375"/>
      <c r="X45" s="45"/>
      <c r="Y45" s="45"/>
      <c r="Z45" s="45"/>
      <c r="AA45" s="457"/>
      <c r="AB45" s="457"/>
    </row>
    <row r="46" spans="3:28" ht="4.9000000000000004" customHeight="1" x14ac:dyDescent="0.25">
      <c r="C46" s="327"/>
      <c r="D46" s="406"/>
      <c r="E46" s="406"/>
      <c r="F46" s="406"/>
      <c r="G46" s="406"/>
      <c r="H46" s="406"/>
      <c r="I46" s="406"/>
      <c r="J46" s="406"/>
      <c r="K46" s="406"/>
      <c r="L46" s="427"/>
      <c r="M46" s="407"/>
      <c r="N46" s="407"/>
      <c r="O46" s="423"/>
      <c r="P46" s="407"/>
      <c r="Q46" s="407"/>
      <c r="R46" s="423"/>
      <c r="S46" s="407"/>
      <c r="T46" s="407"/>
      <c r="U46" s="423"/>
      <c r="V46" s="407"/>
      <c r="W46" s="408"/>
      <c r="X46" s="43"/>
      <c r="Y46" s="43"/>
      <c r="Z46" s="43"/>
      <c r="AA46" s="43"/>
      <c r="AB46" s="43"/>
    </row>
    <row r="47" spans="3:28" ht="17.649999999999999" customHeight="1" x14ac:dyDescent="0.25">
      <c r="C47" s="331"/>
      <c r="D47" s="419" t="s">
        <v>52</v>
      </c>
      <c r="E47" s="232"/>
      <c r="F47" s="232"/>
      <c r="G47" s="232"/>
      <c r="H47" s="232"/>
      <c r="I47" s="232"/>
      <c r="J47" s="232"/>
      <c r="K47" s="34"/>
      <c r="L47" s="428"/>
      <c r="M47" s="420">
        <f>'Net Present Value'!H35</f>
        <v>4154.0941474122528</v>
      </c>
      <c r="N47" s="389"/>
      <c r="O47" s="424"/>
      <c r="P47" s="420">
        <f>'Net Present Value'!H65</f>
        <v>4034.0941474122528</v>
      </c>
      <c r="Q47" s="389"/>
      <c r="R47" s="424"/>
      <c r="S47" s="420">
        <f>'Net Present Value'!H95</f>
        <v>-4931.4966846857214</v>
      </c>
      <c r="T47" s="389"/>
      <c r="U47" s="424"/>
      <c r="V47" s="420">
        <f>'Net Present Value'!H125</f>
        <v>-5051.4966846857214</v>
      </c>
      <c r="W47" s="417"/>
      <c r="X47" s="46"/>
      <c r="Y47" s="46"/>
      <c r="Z47" s="46"/>
      <c r="AA47" s="457"/>
      <c r="AB47" s="457"/>
    </row>
    <row r="48" spans="3:28" ht="4.9000000000000004" customHeight="1" thickBot="1" x14ac:dyDescent="0.3">
      <c r="C48" s="341"/>
      <c r="D48" s="410"/>
      <c r="E48" s="410"/>
      <c r="F48" s="410"/>
      <c r="G48" s="410"/>
      <c r="H48" s="410"/>
      <c r="I48" s="410"/>
      <c r="J48" s="410"/>
      <c r="K48" s="410"/>
      <c r="L48" s="410"/>
      <c r="M48" s="411"/>
      <c r="N48" s="411"/>
      <c r="O48" s="411"/>
      <c r="P48" s="411"/>
      <c r="Q48" s="411"/>
      <c r="R48" s="411"/>
      <c r="S48" s="411"/>
      <c r="T48" s="411"/>
      <c r="U48" s="411"/>
      <c r="V48" s="411"/>
      <c r="W48" s="418"/>
      <c r="X48" s="46"/>
      <c r="Y48" s="46"/>
      <c r="Z48" s="46"/>
      <c r="AA48" s="289"/>
      <c r="AB48" s="289"/>
    </row>
    <row r="49" spans="2:26" x14ac:dyDescent="0.25">
      <c r="M49" s="20"/>
      <c r="N49" s="20"/>
      <c r="O49" s="20"/>
      <c r="P49" s="20"/>
      <c r="Q49" s="20"/>
      <c r="R49" s="20"/>
      <c r="S49" s="20"/>
      <c r="T49" s="20"/>
      <c r="U49" s="20"/>
      <c r="V49" s="20"/>
      <c r="W49" s="20"/>
      <c r="X49" s="20"/>
      <c r="Y49" s="20"/>
      <c r="Z49" s="20"/>
    </row>
    <row r="50" spans="2:26" ht="21" x14ac:dyDescent="0.35">
      <c r="D50" s="149" t="s">
        <v>119</v>
      </c>
      <c r="M50" s="20"/>
      <c r="N50" s="20"/>
      <c r="O50" s="20"/>
      <c r="P50" s="20"/>
      <c r="Q50" s="20"/>
      <c r="R50" s="20"/>
      <c r="S50" s="20"/>
      <c r="T50" s="20"/>
      <c r="U50" s="20"/>
      <c r="V50" s="20"/>
      <c r="W50" s="20"/>
      <c r="X50" s="20"/>
      <c r="Y50" s="20"/>
      <c r="Z50" s="20"/>
    </row>
    <row r="51" spans="2:26" ht="16.5" thickBot="1" x14ac:dyDescent="0.3">
      <c r="D51" s="140" t="s">
        <v>118</v>
      </c>
      <c r="M51" s="20"/>
      <c r="N51" s="20"/>
      <c r="O51" s="20"/>
      <c r="P51" s="20"/>
      <c r="Q51" s="20"/>
      <c r="R51" s="20"/>
      <c r="S51" s="20"/>
      <c r="T51" s="20"/>
      <c r="U51" s="20"/>
      <c r="V51" s="20"/>
      <c r="W51" s="20"/>
      <c r="X51" s="20"/>
      <c r="Y51" s="20"/>
      <c r="Z51" s="20"/>
    </row>
    <row r="52" spans="2:26" ht="4.9000000000000004" customHeight="1" x14ac:dyDescent="0.25">
      <c r="C52" s="327"/>
      <c r="D52" s="368"/>
      <c r="E52" s="369"/>
      <c r="F52" s="369"/>
      <c r="G52" s="369"/>
      <c r="H52" s="369"/>
      <c r="I52" s="369"/>
      <c r="J52" s="369"/>
      <c r="K52" s="369"/>
      <c r="L52" s="369"/>
      <c r="M52" s="370"/>
      <c r="N52" s="370"/>
      <c r="O52" s="370"/>
      <c r="P52" s="370"/>
      <c r="Q52" s="370"/>
      <c r="R52" s="370"/>
      <c r="S52" s="370"/>
      <c r="T52" s="371"/>
      <c r="U52" s="20"/>
      <c r="V52" s="20"/>
      <c r="W52" s="20"/>
      <c r="X52" s="20"/>
      <c r="Y52" s="20"/>
      <c r="Z52" s="20"/>
    </row>
    <row r="53" spans="2:26" ht="15.4" customHeight="1" x14ac:dyDescent="0.25">
      <c r="C53" s="331"/>
      <c r="D53" s="30" t="s">
        <v>85</v>
      </c>
      <c r="E53" s="281"/>
      <c r="F53" s="382" t="s">
        <v>43</v>
      </c>
      <c r="G53" s="281"/>
      <c r="H53" s="281"/>
      <c r="I53" s="281"/>
      <c r="J53" s="281"/>
      <c r="K53" s="281"/>
      <c r="L53" s="281"/>
      <c r="M53" s="288" t="s">
        <v>122</v>
      </c>
      <c r="N53" s="288"/>
      <c r="O53" s="288"/>
      <c r="P53" s="31"/>
      <c r="Q53" s="31"/>
      <c r="R53" s="31"/>
      <c r="S53" s="31"/>
      <c r="T53" s="372"/>
      <c r="U53" s="31"/>
      <c r="V53" s="31"/>
      <c r="W53" s="456"/>
      <c r="X53" s="456"/>
      <c r="Y53" s="456"/>
      <c r="Z53" s="456"/>
    </row>
    <row r="54" spans="2:26" ht="16.149999999999999" customHeight="1" x14ac:dyDescent="0.25">
      <c r="B54" s="281"/>
      <c r="C54" s="331"/>
      <c r="D54" s="30" t="s">
        <v>84</v>
      </c>
      <c r="E54" s="281"/>
      <c r="F54" s="281" t="str">
        <f>M37</f>
        <v>Irrigated</v>
      </c>
      <c r="G54" s="281"/>
      <c r="H54" s="132">
        <f>-0.25</f>
        <v>-0.25</v>
      </c>
      <c r="I54" s="132"/>
      <c r="J54" s="132">
        <f>-0.1</f>
        <v>-0.1</v>
      </c>
      <c r="K54" s="132"/>
      <c r="L54" s="132"/>
      <c r="M54" s="358" t="s">
        <v>117</v>
      </c>
      <c r="N54" s="20"/>
      <c r="O54" s="20"/>
      <c r="P54" s="133" t="s">
        <v>120</v>
      </c>
      <c r="Q54" s="133"/>
      <c r="R54" s="133"/>
      <c r="S54" s="133" t="s">
        <v>121</v>
      </c>
      <c r="T54" s="373"/>
      <c r="U54" s="133"/>
      <c r="V54" s="18"/>
      <c r="W54" s="454"/>
      <c r="X54" s="454"/>
      <c r="Y54" s="454"/>
      <c r="Z54" s="454"/>
    </row>
    <row r="55" spans="2:26" x14ac:dyDescent="0.25">
      <c r="B55" s="281"/>
      <c r="C55" s="331"/>
      <c r="D55" s="83" t="s">
        <v>114</v>
      </c>
      <c r="E55" s="281"/>
      <c r="F55" s="359" t="s">
        <v>164</v>
      </c>
      <c r="G55" s="281"/>
      <c r="H55" s="354">
        <f>J55*(1+H54)</f>
        <v>114.75</v>
      </c>
      <c r="I55" s="354"/>
      <c r="J55" s="354">
        <f>M55*(1+J54)</f>
        <v>153</v>
      </c>
      <c r="K55" s="354"/>
      <c r="L55" s="354"/>
      <c r="M55" s="354">
        <f>Input!P18</f>
        <v>170</v>
      </c>
      <c r="N55" s="354"/>
      <c r="O55" s="354"/>
      <c r="P55" s="354">
        <f>M55*(P54+1)</f>
        <v>187.00000000000003</v>
      </c>
      <c r="Q55" s="354"/>
      <c r="R55" s="354"/>
      <c r="S55" s="354">
        <f>P55*(S54+1)</f>
        <v>233.75000000000003</v>
      </c>
      <c r="T55" s="374"/>
      <c r="U55" s="134"/>
      <c r="V55" s="281"/>
    </row>
    <row r="56" spans="2:26" x14ac:dyDescent="0.25">
      <c r="B56" s="281"/>
      <c r="C56" s="331"/>
      <c r="D56" s="136">
        <f>-0.25</f>
        <v>-0.25</v>
      </c>
      <c r="E56" s="281"/>
      <c r="F56" s="137">
        <f>F57*(1+D56)</f>
        <v>12.419999999999998</v>
      </c>
      <c r="G56" s="137"/>
      <c r="H56" s="360">
        <f>($F56*H$55)-$M$31</f>
        <v>-898.7191600000001</v>
      </c>
      <c r="I56" s="361"/>
      <c r="J56" s="361">
        <f>($F56*J$55)-$M$31</f>
        <v>-423.65416000000005</v>
      </c>
      <c r="K56" s="361"/>
      <c r="L56" s="361"/>
      <c r="M56" s="361">
        <f>($F56*M$55)-$M$31</f>
        <v>-212.51416000000017</v>
      </c>
      <c r="N56" s="361"/>
      <c r="O56" s="361"/>
      <c r="P56" s="361">
        <f>($F56*P$55)-$M$31</f>
        <v>-1.3741599999998471</v>
      </c>
      <c r="Q56" s="361"/>
      <c r="R56" s="361"/>
      <c r="S56" s="362">
        <f>($F56*S$55)-$M$31</f>
        <v>579.26083999999992</v>
      </c>
      <c r="T56" s="375"/>
      <c r="U56" s="45"/>
      <c r="V56" s="281"/>
    </row>
    <row r="57" spans="2:26" ht="15.4" customHeight="1" x14ac:dyDescent="0.25">
      <c r="B57" s="281"/>
      <c r="C57" s="331"/>
      <c r="D57" s="136">
        <f>-0.1</f>
        <v>-0.1</v>
      </c>
      <c r="E57" s="281"/>
      <c r="F57" s="281">
        <f>F58*(1+D57)</f>
        <v>16.559999999999999</v>
      </c>
      <c r="G57" s="281"/>
      <c r="H57" s="300">
        <f>($F57*H$55)-$M$31</f>
        <v>-423.65416000000005</v>
      </c>
      <c r="I57" s="312"/>
      <c r="J57" s="312">
        <f>($F57*J$55)-$M$31</f>
        <v>209.76584000000003</v>
      </c>
      <c r="K57" s="312"/>
      <c r="L57" s="312"/>
      <c r="M57" s="312">
        <f>($F57*M$55)-$M$31</f>
        <v>491.28584000000001</v>
      </c>
      <c r="N57" s="312"/>
      <c r="O57" s="312"/>
      <c r="P57" s="312">
        <f>($F57*P$55)-$M$31</f>
        <v>772.80584000000044</v>
      </c>
      <c r="Q57" s="312"/>
      <c r="R57" s="312"/>
      <c r="S57" s="299">
        <f>($F57*S$55)-$M$31</f>
        <v>1546.9858400000003</v>
      </c>
      <c r="T57" s="375"/>
      <c r="U57" s="45"/>
      <c r="V57" s="281"/>
    </row>
    <row r="58" spans="2:26" ht="16.149999999999999" customHeight="1" x14ac:dyDescent="0.25">
      <c r="B58" s="281"/>
      <c r="C58" s="331"/>
      <c r="D58" s="83" t="s">
        <v>115</v>
      </c>
      <c r="E58" s="281"/>
      <c r="F58" s="139">
        <f>J42</f>
        <v>18.399999999999999</v>
      </c>
      <c r="G58" s="139"/>
      <c r="H58" s="300">
        <f>($F58*H$55)-$M$31</f>
        <v>-212.51416000000017</v>
      </c>
      <c r="I58" s="312"/>
      <c r="J58" s="312">
        <f>($F58*J$55)-$M$31</f>
        <v>491.28584000000001</v>
      </c>
      <c r="K58" s="312"/>
      <c r="L58" s="312"/>
      <c r="M58" s="367">
        <f>($F58*M$55)-$M$31</f>
        <v>804.08583999999973</v>
      </c>
      <c r="N58" s="312"/>
      <c r="O58" s="312"/>
      <c r="P58" s="312">
        <f>($F58*P$55)-$M$31</f>
        <v>1116.8858400000004</v>
      </c>
      <c r="Q58" s="312"/>
      <c r="R58" s="312"/>
      <c r="S58" s="299">
        <f>($F58*S$55)-$M$31</f>
        <v>1977.0858400000002</v>
      </c>
      <c r="T58" s="375"/>
      <c r="U58" s="45"/>
      <c r="V58" s="281"/>
    </row>
    <row r="59" spans="2:26" x14ac:dyDescent="0.25">
      <c r="B59" s="281"/>
      <c r="C59" s="331"/>
      <c r="D59" s="138" t="s">
        <v>120</v>
      </c>
      <c r="E59" s="281"/>
      <c r="F59" s="281">
        <f>F58*(1+D59)</f>
        <v>20.239999999999998</v>
      </c>
      <c r="G59" s="281"/>
      <c r="H59" s="300">
        <f>($F59*H$55)-$M$31</f>
        <v>-1.3741599999998471</v>
      </c>
      <c r="I59" s="312"/>
      <c r="J59" s="312">
        <f>($F59*J$55)-$M$31</f>
        <v>772.80583999999999</v>
      </c>
      <c r="K59" s="312"/>
      <c r="L59" s="312"/>
      <c r="M59" s="312">
        <f>($F59*M$55)-$M$31</f>
        <v>1116.8858399999999</v>
      </c>
      <c r="N59" s="312"/>
      <c r="O59" s="312"/>
      <c r="P59" s="312">
        <f>($F59*P$55)-$M$31</f>
        <v>1460.9658400000003</v>
      </c>
      <c r="Q59" s="312"/>
      <c r="R59" s="312"/>
      <c r="S59" s="299">
        <f>($F59*S$55)-$M$31</f>
        <v>2407.1858400000006</v>
      </c>
      <c r="T59" s="375"/>
      <c r="U59" s="45"/>
      <c r="V59" s="281"/>
    </row>
    <row r="60" spans="2:26" x14ac:dyDescent="0.25">
      <c r="B60" s="281"/>
      <c r="C60" s="331"/>
      <c r="D60" s="138" t="s">
        <v>121</v>
      </c>
      <c r="E60" s="281"/>
      <c r="F60" s="137">
        <f>F59*(1+D60)</f>
        <v>25.299999999999997</v>
      </c>
      <c r="G60" s="137"/>
      <c r="H60" s="363">
        <f>($F60*H$55)-$M$31</f>
        <v>579.26083999999992</v>
      </c>
      <c r="I60" s="364"/>
      <c r="J60" s="364">
        <f>($F60*J$55)-$M$31</f>
        <v>1546.9858399999998</v>
      </c>
      <c r="K60" s="364"/>
      <c r="L60" s="364"/>
      <c r="M60" s="364">
        <f>($F60*M$55)-$M$31</f>
        <v>1977.0858399999993</v>
      </c>
      <c r="N60" s="364"/>
      <c r="O60" s="364"/>
      <c r="P60" s="364">
        <f>($F60*P$55)-$M$31</f>
        <v>2407.1858400000006</v>
      </c>
      <c r="Q60" s="364"/>
      <c r="R60" s="364"/>
      <c r="S60" s="365">
        <f>($F60*S$55)-$M$31</f>
        <v>3589.9608400000002</v>
      </c>
      <c r="T60" s="375"/>
      <c r="U60" s="45"/>
      <c r="V60" s="281"/>
    </row>
    <row r="61" spans="2:26" ht="4.9000000000000004" customHeight="1" thickBot="1" x14ac:dyDescent="0.3">
      <c r="B61" s="281"/>
      <c r="C61" s="341"/>
      <c r="D61" s="376"/>
      <c r="E61" s="91"/>
      <c r="F61" s="377"/>
      <c r="G61" s="377"/>
      <c r="H61" s="357"/>
      <c r="I61" s="357"/>
      <c r="J61" s="357"/>
      <c r="K61" s="357"/>
      <c r="L61" s="357"/>
      <c r="M61" s="357"/>
      <c r="N61" s="357"/>
      <c r="O61" s="357"/>
      <c r="P61" s="357"/>
      <c r="Q61" s="357"/>
      <c r="R61" s="357"/>
      <c r="S61" s="357"/>
      <c r="T61" s="378"/>
      <c r="U61" s="45"/>
      <c r="V61" s="281"/>
      <c r="W61" s="281"/>
    </row>
    <row r="62" spans="2:26" ht="16.5" thickBot="1" x14ac:dyDescent="0.3">
      <c r="B62" s="281"/>
      <c r="C62" s="281"/>
      <c r="D62" s="138"/>
      <c r="E62" s="281"/>
      <c r="F62" s="137"/>
      <c r="G62" s="137"/>
      <c r="H62" s="312"/>
      <c r="I62" s="312"/>
      <c r="J62" s="312"/>
      <c r="K62" s="312"/>
      <c r="L62" s="312"/>
      <c r="M62" s="312"/>
      <c r="N62" s="312"/>
      <c r="O62" s="312"/>
      <c r="P62" s="312"/>
      <c r="Q62" s="312"/>
      <c r="R62" s="312"/>
      <c r="S62" s="312"/>
      <c r="T62" s="45"/>
      <c r="U62" s="45"/>
      <c r="V62" s="281"/>
      <c r="W62" s="281"/>
    </row>
    <row r="63" spans="2:26" ht="4.9000000000000004" customHeight="1" x14ac:dyDescent="0.25">
      <c r="B63" s="281"/>
      <c r="C63" s="327"/>
      <c r="D63" s="369"/>
      <c r="E63" s="369"/>
      <c r="F63" s="379"/>
      <c r="G63" s="379"/>
      <c r="H63" s="380"/>
      <c r="I63" s="380"/>
      <c r="J63" s="380"/>
      <c r="K63" s="380"/>
      <c r="L63" s="380"/>
      <c r="M63" s="380"/>
      <c r="N63" s="380"/>
      <c r="O63" s="380"/>
      <c r="P63" s="380"/>
      <c r="Q63" s="380"/>
      <c r="R63" s="380"/>
      <c r="S63" s="380"/>
      <c r="T63" s="381"/>
      <c r="U63" s="45"/>
      <c r="V63" s="281"/>
    </row>
    <row r="64" spans="2:26" x14ac:dyDescent="0.25">
      <c r="B64" s="281"/>
      <c r="C64" s="331"/>
      <c r="D64" s="30" t="s">
        <v>85</v>
      </c>
      <c r="E64" s="281"/>
      <c r="F64" s="382" t="s">
        <v>162</v>
      </c>
      <c r="G64" s="281"/>
      <c r="H64" s="281"/>
      <c r="I64" s="281"/>
      <c r="J64" s="281"/>
      <c r="K64" s="281"/>
      <c r="L64" s="281"/>
      <c r="M64" s="20" t="s">
        <v>122</v>
      </c>
      <c r="N64" s="20"/>
      <c r="O64" s="20"/>
      <c r="P64" s="281"/>
      <c r="Q64" s="281"/>
      <c r="R64" s="281"/>
      <c r="S64" s="281"/>
      <c r="T64" s="338"/>
      <c r="U64" s="281"/>
      <c r="V64" s="281"/>
    </row>
    <row r="65" spans="2:32" x14ac:dyDescent="0.25">
      <c r="B65" s="281"/>
      <c r="C65" s="331"/>
      <c r="D65" s="30" t="s">
        <v>84</v>
      </c>
      <c r="E65" s="281"/>
      <c r="F65" s="281" t="str">
        <f>M37</f>
        <v>Irrigated</v>
      </c>
      <c r="G65" s="281"/>
      <c r="H65" s="132">
        <f>-0.25</f>
        <v>-0.25</v>
      </c>
      <c r="I65" s="132"/>
      <c r="J65" s="132">
        <f>-0.1</f>
        <v>-0.1</v>
      </c>
      <c r="K65" s="132"/>
      <c r="L65" s="132"/>
      <c r="M65" s="358" t="s">
        <v>116</v>
      </c>
      <c r="N65" s="20"/>
      <c r="O65" s="20"/>
      <c r="P65" s="133" t="s">
        <v>120</v>
      </c>
      <c r="Q65" s="133"/>
      <c r="R65" s="133"/>
      <c r="S65" s="133" t="s">
        <v>121</v>
      </c>
      <c r="T65" s="373"/>
      <c r="U65" s="133"/>
      <c r="V65" s="281"/>
    </row>
    <row r="66" spans="2:32" x14ac:dyDescent="0.25">
      <c r="B66" s="281"/>
      <c r="C66" s="331"/>
      <c r="D66" s="83" t="s">
        <v>114</v>
      </c>
      <c r="E66" s="281"/>
      <c r="F66" s="359" t="s">
        <v>49</v>
      </c>
      <c r="G66" s="281"/>
      <c r="H66" s="354">
        <f>J66*(1+H65)</f>
        <v>20.25</v>
      </c>
      <c r="I66" s="354"/>
      <c r="J66" s="354">
        <f>M66*(1+J65)</f>
        <v>27</v>
      </c>
      <c r="K66" s="354"/>
      <c r="L66" s="354"/>
      <c r="M66" s="354">
        <f>Input!P20</f>
        <v>30</v>
      </c>
      <c r="N66" s="366"/>
      <c r="O66" s="366"/>
      <c r="P66" s="354">
        <f>M66*(P65+1)</f>
        <v>33</v>
      </c>
      <c r="Q66" s="354"/>
      <c r="R66" s="354"/>
      <c r="S66" s="354">
        <f>P66*(S65+1)</f>
        <v>41.25</v>
      </c>
      <c r="T66" s="374"/>
      <c r="U66" s="134"/>
      <c r="V66" s="281"/>
    </row>
    <row r="67" spans="2:32" x14ac:dyDescent="0.25">
      <c r="B67" s="281"/>
      <c r="C67" s="331"/>
      <c r="D67" s="136">
        <f>-0.25</f>
        <v>-0.25</v>
      </c>
      <c r="E67" s="281"/>
      <c r="F67" s="137">
        <f>F68*(1+D67)</f>
        <v>18.400000000000002</v>
      </c>
      <c r="G67" s="137"/>
      <c r="H67" s="360">
        <f>($F67*H$66)-$S$31</f>
        <v>-544.3141599999999</v>
      </c>
      <c r="I67" s="361"/>
      <c r="J67" s="361">
        <f>($F67*J$66)-$S$31</f>
        <v>-420.11415999999986</v>
      </c>
      <c r="K67" s="361"/>
      <c r="L67" s="361"/>
      <c r="M67" s="361">
        <f>($F67*M$66)-$S$31</f>
        <v>-364.91415999999981</v>
      </c>
      <c r="N67" s="361"/>
      <c r="O67" s="361"/>
      <c r="P67" s="361">
        <f>($F67*P$66)-$S$31</f>
        <v>-309.71415999999988</v>
      </c>
      <c r="Q67" s="361"/>
      <c r="R67" s="361"/>
      <c r="S67" s="362">
        <f>($F67*S$66)-$S$31</f>
        <v>-157.91415999999981</v>
      </c>
      <c r="T67" s="375"/>
      <c r="U67" s="45"/>
      <c r="V67" s="281"/>
    </row>
    <row r="68" spans="2:32" x14ac:dyDescent="0.25">
      <c r="B68" s="281"/>
      <c r="C68" s="331"/>
      <c r="D68" s="136">
        <f>-0.1</f>
        <v>-0.1</v>
      </c>
      <c r="E68" s="281"/>
      <c r="F68" s="137">
        <f>F69*(1+D68)</f>
        <v>24.533333333333335</v>
      </c>
      <c r="G68" s="137"/>
      <c r="H68" s="300">
        <f>($F68*H$66)-$S$31</f>
        <v>-420.11415999999991</v>
      </c>
      <c r="I68" s="312"/>
      <c r="J68" s="312">
        <f>($F68*J$66)-$S$31</f>
        <v>-254.51415999999983</v>
      </c>
      <c r="K68" s="312"/>
      <c r="L68" s="312"/>
      <c r="M68" s="312">
        <f>($F68*M$66)-$S$31</f>
        <v>-180.91415999999992</v>
      </c>
      <c r="N68" s="312"/>
      <c r="O68" s="312"/>
      <c r="P68" s="312">
        <f>($F68*P$66)-$S$31</f>
        <v>-107.3141599999999</v>
      </c>
      <c r="Q68" s="312"/>
      <c r="R68" s="312"/>
      <c r="S68" s="299">
        <f>($F68*S$66)-$S$31</f>
        <v>95.085840000000189</v>
      </c>
      <c r="T68" s="375"/>
      <c r="U68" s="45"/>
      <c r="V68" s="281"/>
    </row>
    <row r="69" spans="2:32" x14ac:dyDescent="0.25">
      <c r="B69" s="281"/>
      <c r="C69" s="331"/>
      <c r="D69" s="83" t="s">
        <v>44</v>
      </c>
      <c r="E69" s="281"/>
      <c r="F69" s="137">
        <f>J41</f>
        <v>27.25925925925926</v>
      </c>
      <c r="G69" s="137"/>
      <c r="H69" s="300">
        <f>($F69*H$66)-$S$31</f>
        <v>-364.91415999999992</v>
      </c>
      <c r="I69" s="312"/>
      <c r="J69" s="312">
        <f>($F69*J$66)-$S$31</f>
        <v>-180.91415999999992</v>
      </c>
      <c r="K69" s="312"/>
      <c r="L69" s="312"/>
      <c r="M69" s="367">
        <f>($F69*M$66)-$S$31</f>
        <v>-99.136382222222096</v>
      </c>
      <c r="N69" s="312"/>
      <c r="O69" s="312"/>
      <c r="P69" s="312">
        <f>($F69*P$66)-$S$31</f>
        <v>-17.358604444444381</v>
      </c>
      <c r="Q69" s="312"/>
      <c r="R69" s="312"/>
      <c r="S69" s="299">
        <f>($F69*S$66)-$S$31</f>
        <v>207.53028444444442</v>
      </c>
      <c r="T69" s="375"/>
      <c r="U69" s="45"/>
      <c r="V69" s="281"/>
    </row>
    <row r="70" spans="2:32" x14ac:dyDescent="0.25">
      <c r="B70" s="281"/>
      <c r="C70" s="331"/>
      <c r="D70" s="138" t="s">
        <v>120</v>
      </c>
      <c r="E70" s="281"/>
      <c r="F70" s="137">
        <f>F69*(1+D70)</f>
        <v>29.985185185185188</v>
      </c>
      <c r="G70" s="137"/>
      <c r="H70" s="300">
        <f>($F70*H$66)-$S$31</f>
        <v>-309.71415999999988</v>
      </c>
      <c r="I70" s="312"/>
      <c r="J70" s="312">
        <f>($F70*J$66)-$S$31</f>
        <v>-107.3141599999999</v>
      </c>
      <c r="K70" s="312"/>
      <c r="L70" s="312"/>
      <c r="M70" s="312">
        <f>($F70*M$66)-$S$31</f>
        <v>-17.358604444444268</v>
      </c>
      <c r="N70" s="312"/>
      <c r="O70" s="312"/>
      <c r="P70" s="312">
        <f>($F70*P$66)-$S$31</f>
        <v>72.596951111111252</v>
      </c>
      <c r="Q70" s="312"/>
      <c r="R70" s="312"/>
      <c r="S70" s="299">
        <f>($F70*S$66)-$S$31</f>
        <v>319.97472888888899</v>
      </c>
      <c r="T70" s="375"/>
      <c r="U70" s="45"/>
      <c r="V70" s="281"/>
    </row>
    <row r="71" spans="2:32" x14ac:dyDescent="0.25">
      <c r="B71" s="281"/>
      <c r="C71" s="331"/>
      <c r="D71" s="138" t="s">
        <v>121</v>
      </c>
      <c r="E71" s="281"/>
      <c r="F71" s="137">
        <f>F70*(1+D71)</f>
        <v>37.481481481481481</v>
      </c>
      <c r="G71" s="137"/>
      <c r="H71" s="363">
        <f>($F71*H$66)-$S$31</f>
        <v>-157.91415999999992</v>
      </c>
      <c r="I71" s="364"/>
      <c r="J71" s="364">
        <f>($F71*J$66)-$S$31</f>
        <v>95.085840000000076</v>
      </c>
      <c r="K71" s="364"/>
      <c r="L71" s="364"/>
      <c r="M71" s="364">
        <f>($F71*M$66)-$S$31</f>
        <v>207.53028444444442</v>
      </c>
      <c r="N71" s="364"/>
      <c r="O71" s="364"/>
      <c r="P71" s="364">
        <f>($F71*P$66)-$S$31</f>
        <v>319.97472888888899</v>
      </c>
      <c r="Q71" s="364"/>
      <c r="R71" s="364"/>
      <c r="S71" s="365">
        <f>($F71*S$66)-$S$31</f>
        <v>629.19695111111116</v>
      </c>
      <c r="T71" s="375"/>
      <c r="U71" s="45"/>
      <c r="V71" s="281"/>
    </row>
    <row r="72" spans="2:32" ht="4.9000000000000004" customHeight="1" thickBot="1" x14ac:dyDescent="0.3">
      <c r="B72" s="281"/>
      <c r="C72" s="341"/>
      <c r="D72" s="91"/>
      <c r="E72" s="91"/>
      <c r="F72" s="91"/>
      <c r="G72" s="91"/>
      <c r="H72" s="91"/>
      <c r="I72" s="91"/>
      <c r="J72" s="91"/>
      <c r="K72" s="91"/>
      <c r="L72" s="91"/>
      <c r="M72" s="91"/>
      <c r="N72" s="91"/>
      <c r="O72" s="91"/>
      <c r="P72" s="91"/>
      <c r="Q72" s="91"/>
      <c r="R72" s="91"/>
      <c r="S72" s="91"/>
      <c r="T72" s="342"/>
      <c r="U72" s="281"/>
      <c r="V72" s="281"/>
    </row>
    <row r="73" spans="2:32" x14ac:dyDescent="0.25">
      <c r="B73" s="281"/>
      <c r="C73" s="281"/>
      <c r="D73" s="281"/>
      <c r="E73" s="281"/>
      <c r="F73" s="281"/>
      <c r="G73" s="281"/>
      <c r="H73" s="281"/>
      <c r="I73" s="281"/>
      <c r="J73" s="281"/>
      <c r="K73" s="281"/>
      <c r="L73" s="281"/>
      <c r="M73" s="281"/>
      <c r="N73" s="281"/>
      <c r="O73" s="281"/>
      <c r="P73" s="281"/>
      <c r="Q73" s="281"/>
      <c r="R73" s="281"/>
      <c r="S73" s="281"/>
      <c r="T73" s="281"/>
      <c r="U73" s="281"/>
      <c r="V73" s="281"/>
    </row>
    <row r="74" spans="2:32" x14ac:dyDescent="0.25">
      <c r="B74" s="281"/>
      <c r="C74" s="281"/>
      <c r="D74" s="109"/>
      <c r="E74" s="109"/>
      <c r="F74" s="109"/>
      <c r="G74" s="281"/>
      <c r="H74" s="109"/>
      <c r="I74" s="281"/>
      <c r="J74" s="109"/>
      <c r="K74" s="281"/>
      <c r="L74" s="281"/>
    </row>
    <row r="75" spans="2:32" x14ac:dyDescent="0.25">
      <c r="B75" s="281"/>
      <c r="C75" s="281"/>
      <c r="D75" s="109"/>
      <c r="E75" s="109"/>
      <c r="F75" s="109"/>
      <c r="G75" s="281"/>
      <c r="H75" s="109"/>
      <c r="I75" s="281"/>
      <c r="J75" s="109"/>
      <c r="K75" s="281"/>
      <c r="L75" s="281"/>
    </row>
    <row r="76" spans="2:32" x14ac:dyDescent="0.25">
      <c r="B76" s="281"/>
      <c r="C76" s="281"/>
      <c r="D76" s="109"/>
      <c r="E76" s="109"/>
      <c r="F76" s="109"/>
      <c r="G76" s="281"/>
      <c r="H76" s="109"/>
      <c r="I76" s="281"/>
      <c r="J76" s="109"/>
      <c r="K76" s="281"/>
      <c r="L76" s="281"/>
      <c r="AF76" s="20"/>
    </row>
    <row r="77" spans="2:32" x14ac:dyDescent="0.25">
      <c r="B77" s="281"/>
      <c r="C77" s="281"/>
      <c r="D77" s="109"/>
      <c r="E77" s="109"/>
      <c r="F77" s="109"/>
      <c r="G77" s="281"/>
      <c r="H77" s="109"/>
      <c r="I77" s="281"/>
      <c r="J77" s="109"/>
      <c r="K77" s="281"/>
      <c r="L77" s="281"/>
      <c r="AF77" s="20"/>
    </row>
    <row r="78" spans="2:32" x14ac:dyDescent="0.25">
      <c r="B78" s="281"/>
      <c r="C78" s="281"/>
      <c r="D78" s="109"/>
      <c r="E78" s="109"/>
      <c r="F78" s="109"/>
      <c r="G78" s="281"/>
      <c r="H78" s="109"/>
      <c r="I78" s="281"/>
      <c r="J78" s="109"/>
      <c r="K78" s="281"/>
      <c r="L78" s="281"/>
    </row>
    <row r="79" spans="2:32" x14ac:dyDescent="0.25">
      <c r="B79" s="281"/>
      <c r="C79" s="281"/>
      <c r="D79" s="109"/>
      <c r="E79" s="109"/>
      <c r="F79" s="109"/>
      <c r="G79" s="281"/>
      <c r="H79" s="109"/>
      <c r="I79" s="281"/>
      <c r="J79" s="109"/>
      <c r="K79" s="281"/>
      <c r="L79" s="281"/>
    </row>
    <row r="80" spans="2:32" x14ac:dyDescent="0.25">
      <c r="B80" s="281"/>
      <c r="C80" s="281"/>
      <c r="D80" s="109"/>
      <c r="E80" s="109"/>
      <c r="F80" s="109"/>
      <c r="G80" s="281"/>
      <c r="H80" s="109"/>
      <c r="I80" s="281"/>
      <c r="J80" s="109"/>
      <c r="K80" s="281"/>
      <c r="L80" s="281"/>
    </row>
    <row r="81" spans="2:12" x14ac:dyDescent="0.25">
      <c r="B81" s="281"/>
      <c r="C81" s="281"/>
      <c r="D81" s="109"/>
      <c r="E81" s="109"/>
      <c r="F81" s="109"/>
      <c r="G81" s="281"/>
      <c r="H81" s="109"/>
      <c r="I81" s="281"/>
      <c r="J81" s="109"/>
      <c r="K81" s="281"/>
      <c r="L81" s="281"/>
    </row>
    <row r="82" spans="2:12" x14ac:dyDescent="0.25">
      <c r="B82" s="281"/>
      <c r="C82" s="281"/>
      <c r="D82" s="109"/>
      <c r="E82" s="109"/>
      <c r="F82" s="109"/>
      <c r="G82" s="281"/>
      <c r="H82" s="109"/>
      <c r="I82" s="281"/>
      <c r="J82" s="109"/>
      <c r="K82" s="281"/>
      <c r="L82" s="281"/>
    </row>
    <row r="83" spans="2:12" x14ac:dyDescent="0.25">
      <c r="B83" s="281"/>
      <c r="C83" s="281"/>
      <c r="D83" s="109"/>
      <c r="E83" s="109"/>
      <c r="F83" s="109"/>
      <c r="G83" s="281"/>
      <c r="H83" s="109"/>
      <c r="I83" s="281"/>
      <c r="J83" s="109"/>
      <c r="K83" s="281"/>
      <c r="L83" s="281"/>
    </row>
    <row r="84" spans="2:12" x14ac:dyDescent="0.25">
      <c r="B84" s="281"/>
      <c r="C84" s="281"/>
      <c r="D84" s="109"/>
      <c r="E84" s="109"/>
      <c r="F84" s="109"/>
      <c r="G84" s="281"/>
      <c r="H84" s="109"/>
      <c r="I84" s="281"/>
      <c r="J84" s="109"/>
      <c r="K84" s="281"/>
      <c r="L84" s="281"/>
    </row>
    <row r="85" spans="2:12" x14ac:dyDescent="0.25">
      <c r="D85" s="109"/>
      <c r="E85" s="109"/>
      <c r="F85" s="109"/>
      <c r="G85" s="281"/>
      <c r="H85" s="109"/>
      <c r="I85" s="281"/>
      <c r="J85" s="109"/>
      <c r="K85" s="281"/>
      <c r="L85" s="281"/>
    </row>
    <row r="86" spans="2:12" x14ac:dyDescent="0.25">
      <c r="D86" s="109"/>
      <c r="E86" s="109"/>
      <c r="F86" s="109"/>
      <c r="G86" s="281"/>
      <c r="H86" s="109"/>
      <c r="I86" s="281"/>
      <c r="J86" s="109"/>
      <c r="K86" s="281"/>
      <c r="L86" s="281"/>
    </row>
    <row r="87" spans="2:12" x14ac:dyDescent="0.25">
      <c r="D87" s="109"/>
      <c r="E87" s="109"/>
      <c r="F87" s="109"/>
      <c r="G87" s="281"/>
      <c r="H87" s="109"/>
      <c r="I87" s="281"/>
      <c r="J87" s="109"/>
      <c r="K87" s="281"/>
      <c r="L87" s="281"/>
    </row>
    <row r="88" spans="2:12" x14ac:dyDescent="0.25">
      <c r="D88" s="109"/>
      <c r="E88" s="109"/>
      <c r="F88" s="109"/>
      <c r="G88" s="281"/>
      <c r="H88" s="109"/>
      <c r="I88" s="281"/>
      <c r="J88" s="109"/>
      <c r="K88" s="281"/>
      <c r="L88" s="281"/>
    </row>
    <row r="97" spans="10:28" x14ac:dyDescent="0.25">
      <c r="J97" s="47"/>
      <c r="K97" s="47"/>
      <c r="L97" s="47"/>
      <c r="M97" s="48"/>
      <c r="N97" s="48"/>
      <c r="O97" s="48"/>
      <c r="P97" s="48"/>
      <c r="Q97" s="48"/>
      <c r="R97" s="48"/>
      <c r="S97" s="48"/>
      <c r="T97" s="48"/>
      <c r="U97" s="48"/>
      <c r="V97" s="48"/>
      <c r="W97" s="92"/>
      <c r="X97" s="48"/>
      <c r="Y97" s="48"/>
      <c r="Z97" s="48"/>
      <c r="AA97" s="48"/>
      <c r="AB97" s="48"/>
    </row>
  </sheetData>
  <mergeCells count="14">
    <mergeCell ref="AA47:AB47"/>
    <mergeCell ref="M37:P37"/>
    <mergeCell ref="S37:V37"/>
    <mergeCell ref="AA45:AB45"/>
    <mergeCell ref="AA44:AB44"/>
    <mergeCell ref="M10:P10"/>
    <mergeCell ref="S10:V10"/>
    <mergeCell ref="M9:P9"/>
    <mergeCell ref="W54:Z54"/>
    <mergeCell ref="W53:X53"/>
    <mergeCell ref="Y53:Z53"/>
    <mergeCell ref="S9:V9"/>
    <mergeCell ref="M36:P36"/>
    <mergeCell ref="S36:V36"/>
  </mergeCells>
  <pageMargins left="0.7" right="0.7" top="0.75" bottom="0.75" header="0.3" footer="0.3"/>
  <pageSetup scale="63"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id="{9C8ED4DC-B0D4-4060-92C7-DC977624007E}">
            <xm:f>NOT(ISERROR(SEARCH(Notes!$B$7,M10)))</xm:f>
            <xm:f>Notes!$B$7</xm:f>
            <x14:dxf>
              <fill>
                <patternFill>
                  <bgColor theme="6" tint="0.59996337778862885"/>
                </patternFill>
              </fill>
            </x14:dxf>
          </x14:cfRule>
          <x14:cfRule type="containsText" priority="6" stopIfTrue="1" operator="containsText" id="{1BAEC4F9-A2EF-4399-B6DA-C123E28A5B7D}">
            <xm:f>NOT(ISERROR(SEARCH(Notes!$B$8,M10)))</xm:f>
            <xm:f>Notes!$B$8</xm:f>
            <x14:dxf>
              <fill>
                <patternFill>
                  <bgColor theme="9" tint="0.59996337778862885"/>
                </patternFill>
              </fill>
            </x14:dxf>
          </x14:cfRule>
          <xm:sqref>M10:V10</xm:sqref>
        </x14:conditionalFormatting>
        <x14:conditionalFormatting xmlns:xm="http://schemas.microsoft.com/office/excel/2006/main">
          <x14:cfRule type="containsText" priority="3" operator="containsText" id="{160E2480-0FEC-4B17-9A9B-8D8BF91D2973}">
            <xm:f>NOT(ISERROR(SEARCH(Notes!$B$7,M37)))</xm:f>
            <xm:f>Notes!$B$7</xm:f>
            <x14:dxf>
              <fill>
                <patternFill>
                  <bgColor theme="6" tint="0.59996337778862885"/>
                </patternFill>
              </fill>
            </x14:dxf>
          </x14:cfRule>
          <x14:cfRule type="containsText" priority="4" operator="containsText" id="{73EB4AEF-1EA9-49F9-ADB4-755200066464}">
            <xm:f>NOT(ISERROR(SEARCH(Notes!$B$8,M37)))</xm:f>
            <xm:f>Notes!$B$8</xm:f>
            <x14:dxf>
              <fill>
                <patternFill>
                  <bgColor theme="9" tint="0.59996337778862885"/>
                </patternFill>
              </fill>
            </x14:dxf>
          </x14:cfRule>
          <xm:sqref>M37:V37</xm:sqref>
        </x14:conditionalFormatting>
        <x14:conditionalFormatting xmlns:xm="http://schemas.microsoft.com/office/excel/2006/main">
          <x14:cfRule type="containsText" priority="1" operator="containsText" id="{EAF8DA92-ED4B-4D49-A152-129F7A18883B}">
            <xm:f>NOT(ISERROR(SEARCH(Notes!$B$8,F54)))</xm:f>
            <xm:f>Notes!$B$8</xm:f>
            <x14:dxf>
              <fill>
                <patternFill>
                  <bgColor theme="9" tint="0.59996337778862885"/>
                </patternFill>
              </fill>
            </x14:dxf>
          </x14:cfRule>
          <x14:cfRule type="containsText" priority="2" operator="containsText" id="{7247D46B-92F1-40B4-9995-13F01660BA71}">
            <xm:f>NOT(ISERROR(SEARCH(Notes!$B$7,F54)))</xm:f>
            <xm:f>Notes!$B$7</xm:f>
            <x14:dxf>
              <fill>
                <patternFill>
                  <bgColor theme="6" tint="0.59996337778862885"/>
                </patternFill>
              </fill>
            </x14:dxf>
          </x14:cfRule>
          <xm:sqref>F54:G54 F65:G65</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26"/>
  <sheetViews>
    <sheetView showGridLines="0" workbookViewId="0"/>
  </sheetViews>
  <sheetFormatPr defaultColWidth="8.7109375" defaultRowHeight="15" x14ac:dyDescent="0.25"/>
  <cols>
    <col min="1" max="1" width="5.7109375" style="2" customWidth="1"/>
    <col min="2" max="2" width="17.28515625" style="2" bestFit="1" customWidth="1"/>
    <col min="3" max="3" width="13.7109375" style="2" customWidth="1"/>
    <col min="4" max="4" width="12.28515625" style="2" customWidth="1"/>
    <col min="5" max="5" width="12.42578125" style="2" customWidth="1"/>
    <col min="6" max="6" width="12.140625" style="2" customWidth="1"/>
    <col min="7" max="7" width="12.7109375" style="2" customWidth="1"/>
    <col min="8" max="8" width="17" style="2" customWidth="1"/>
    <col min="9" max="10" width="8.7109375" style="2"/>
    <col min="11" max="11" width="10" style="2" customWidth="1"/>
    <col min="12" max="12" width="8.7109375" style="2"/>
    <col min="13" max="13" width="11.28515625" style="2" customWidth="1"/>
    <col min="14" max="14" width="10.7109375" style="2" customWidth="1"/>
    <col min="15" max="15" width="12.7109375" style="2" customWidth="1"/>
    <col min="16" max="16" width="12.42578125" style="2" customWidth="1"/>
    <col min="17" max="16384" width="8.7109375" style="2"/>
  </cols>
  <sheetData>
    <row r="1" spans="1:17" ht="34.9" customHeight="1" x14ac:dyDescent="0.55000000000000004">
      <c r="B1" s="155" t="s">
        <v>81</v>
      </c>
      <c r="D1" s="80"/>
      <c r="E1" s="80"/>
      <c r="F1" s="80"/>
      <c r="G1" s="80"/>
      <c r="H1" s="80"/>
      <c r="I1" s="80"/>
      <c r="J1" s="80"/>
      <c r="K1" s="80"/>
      <c r="L1" s="80"/>
      <c r="M1" s="80"/>
      <c r="N1" s="80"/>
      <c r="O1" s="80"/>
      <c r="P1" s="80"/>
    </row>
    <row r="2" spans="1:17" ht="15.4" customHeight="1" x14ac:dyDescent="0.55000000000000004">
      <c r="B2" s="156" t="str">
        <f>Welcome!D4</f>
        <v>September 2015</v>
      </c>
      <c r="D2" s="80"/>
      <c r="E2" s="80"/>
      <c r="F2" s="80"/>
      <c r="G2" s="80"/>
      <c r="H2" s="80"/>
      <c r="I2" s="80"/>
      <c r="J2" s="80"/>
      <c r="K2" s="80"/>
      <c r="L2" s="80"/>
      <c r="M2" s="80"/>
      <c r="N2" s="80"/>
      <c r="O2" s="80"/>
      <c r="P2" s="80"/>
    </row>
    <row r="3" spans="1:17" ht="15.4" customHeight="1" x14ac:dyDescent="0.55000000000000004">
      <c r="B3" s="111" t="str">
        <f>Input!D4</f>
        <v>Jesse Russell, Jeffrey E. Tranel, R. Brent Young, and Norman Dalsted - CSU Agricultural and Business Management Economists</v>
      </c>
      <c r="D3" s="80"/>
      <c r="E3" s="80"/>
      <c r="F3" s="80"/>
      <c r="G3" s="80"/>
      <c r="H3" s="80"/>
      <c r="I3" s="80"/>
      <c r="J3" s="80"/>
      <c r="K3" s="80"/>
      <c r="L3" s="80"/>
      <c r="M3" s="80"/>
      <c r="N3" s="80"/>
      <c r="O3" s="80"/>
      <c r="P3" s="80"/>
    </row>
    <row r="4" spans="1:17" ht="15.4" customHeight="1" x14ac:dyDescent="0.55000000000000004">
      <c r="B4" s="111" t="str">
        <f>Input!D5</f>
        <v>www.coopext.colostate.edu/ABM/</v>
      </c>
      <c r="D4" s="80"/>
      <c r="E4" s="80"/>
      <c r="F4" s="80"/>
      <c r="G4" s="80"/>
      <c r="H4" s="80"/>
      <c r="I4" s="80"/>
      <c r="J4" s="80"/>
      <c r="K4" s="80"/>
      <c r="L4" s="80"/>
      <c r="M4" s="80"/>
      <c r="N4" s="80"/>
      <c r="O4" s="80"/>
      <c r="P4" s="80"/>
    </row>
    <row r="5" spans="1:17" ht="25.15" customHeight="1" x14ac:dyDescent="0.45">
      <c r="B5" s="157" t="str">
        <f>B10</f>
        <v>Net Present Value Analysis</v>
      </c>
      <c r="D5" s="82"/>
      <c r="E5" s="81"/>
      <c r="F5" s="81"/>
      <c r="G5" s="81"/>
      <c r="H5" s="81"/>
      <c r="I5" s="81"/>
      <c r="J5" s="81"/>
      <c r="K5" s="81"/>
      <c r="L5" s="81"/>
      <c r="M5" s="81"/>
      <c r="N5" s="81"/>
      <c r="O5" s="81"/>
      <c r="P5" s="81"/>
    </row>
    <row r="6" spans="1:17" ht="15.4" customHeight="1" x14ac:dyDescent="0.25">
      <c r="A6" s="6"/>
      <c r="B6" s="6"/>
      <c r="C6" s="6"/>
      <c r="D6" s="6"/>
      <c r="E6" s="6"/>
      <c r="F6" s="6"/>
      <c r="G6" s="6"/>
      <c r="H6" s="6"/>
      <c r="I6" s="6"/>
      <c r="J6" s="6"/>
      <c r="K6" s="6"/>
      <c r="L6" s="6"/>
      <c r="M6" s="6"/>
      <c r="N6" s="6"/>
      <c r="O6" s="6"/>
      <c r="P6" s="6"/>
      <c r="Q6" s="6"/>
    </row>
    <row r="7" spans="1:17" ht="15.4" customHeight="1" x14ac:dyDescent="0.25">
      <c r="B7" s="28" t="s">
        <v>85</v>
      </c>
      <c r="C7" s="84" t="s">
        <v>43</v>
      </c>
      <c r="D7" s="6"/>
      <c r="E7" s="6"/>
      <c r="F7" s="6"/>
      <c r="G7" s="6"/>
      <c r="H7" s="6"/>
      <c r="I7" s="6"/>
      <c r="J7" s="6"/>
      <c r="K7" s="6"/>
      <c r="L7" s="6"/>
      <c r="M7" s="6"/>
      <c r="N7" s="6"/>
      <c r="O7" s="6"/>
      <c r="P7" s="6"/>
      <c r="Q7" s="6"/>
    </row>
    <row r="8" spans="1:17" ht="15.4" customHeight="1" x14ac:dyDescent="0.25">
      <c r="B8" s="30" t="s">
        <v>84</v>
      </c>
      <c r="C8" s="85" t="str">
        <f>Input!I11</f>
        <v>Irrigated</v>
      </c>
      <c r="D8" s="6"/>
      <c r="E8" s="6"/>
      <c r="F8" s="6"/>
      <c r="G8" s="6"/>
      <c r="H8" s="6"/>
      <c r="I8" s="6"/>
      <c r="J8" s="6"/>
      <c r="K8" s="6"/>
      <c r="L8" s="6"/>
      <c r="M8" s="6"/>
      <c r="N8" s="6"/>
      <c r="O8" s="6"/>
      <c r="P8" s="6"/>
      <c r="Q8" s="6"/>
    </row>
    <row r="9" spans="1:17" ht="15.4" customHeight="1" thickBot="1" x14ac:dyDescent="0.3">
      <c r="B9" s="83" t="s">
        <v>86</v>
      </c>
      <c r="C9" s="86" t="s">
        <v>39</v>
      </c>
      <c r="D9" s="87"/>
      <c r="E9" s="6"/>
      <c r="F9" s="6"/>
      <c r="G9" s="6"/>
      <c r="H9" s="6"/>
      <c r="I9" s="6"/>
      <c r="J9" s="6"/>
      <c r="K9" s="6"/>
      <c r="L9" s="6"/>
      <c r="M9" s="6"/>
      <c r="N9" s="6"/>
      <c r="O9" s="6"/>
      <c r="P9" s="6"/>
      <c r="Q9" s="6"/>
    </row>
    <row r="10" spans="1:17" ht="19.5" thickBot="1" x14ac:dyDescent="0.35">
      <c r="B10" s="458" t="s">
        <v>16</v>
      </c>
      <c r="C10" s="459"/>
      <c r="D10" s="459"/>
      <c r="E10" s="459"/>
      <c r="F10" s="459"/>
      <c r="G10" s="459"/>
      <c r="H10" s="460"/>
      <c r="I10" s="6"/>
      <c r="J10" s="458" t="s">
        <v>17</v>
      </c>
      <c r="K10" s="459"/>
      <c r="L10" s="459"/>
      <c r="M10" s="459"/>
      <c r="N10" s="459"/>
      <c r="O10" s="459"/>
      <c r="P10" s="460"/>
    </row>
    <row r="11" spans="1:17" ht="15.75" x14ac:dyDescent="0.25">
      <c r="B11" s="49"/>
      <c r="C11" s="6"/>
      <c r="D11" s="6"/>
      <c r="E11" s="6"/>
      <c r="F11" s="6"/>
      <c r="G11" s="6"/>
      <c r="H11" s="50"/>
      <c r="I11" s="6"/>
      <c r="J11" s="49"/>
      <c r="K11" s="6"/>
      <c r="L11" s="6"/>
      <c r="M11" s="464" t="s">
        <v>18</v>
      </c>
      <c r="N11" s="464"/>
      <c r="O11" s="464"/>
      <c r="P11" s="51">
        <v>0.94</v>
      </c>
    </row>
    <row r="12" spans="1:17" ht="18.75" x14ac:dyDescent="0.3">
      <c r="B12" s="49"/>
      <c r="C12" s="6"/>
      <c r="D12" s="6"/>
      <c r="E12" s="6"/>
      <c r="F12" s="6"/>
      <c r="G12" s="6"/>
      <c r="H12" s="50"/>
      <c r="I12" s="6"/>
      <c r="J12" s="52"/>
      <c r="K12" s="6"/>
      <c r="L12" s="6"/>
      <c r="M12" s="465" t="s">
        <v>19</v>
      </c>
      <c r="N12" s="466"/>
      <c r="O12" s="467"/>
      <c r="P12" s="53">
        <v>1.1000000000000001</v>
      </c>
    </row>
    <row r="13" spans="1:17" ht="15.75" x14ac:dyDescent="0.25">
      <c r="B13" s="54"/>
      <c r="C13" s="55"/>
      <c r="D13" s="55"/>
      <c r="E13" s="55"/>
      <c r="F13" s="55"/>
      <c r="G13" s="55" t="s">
        <v>3</v>
      </c>
      <c r="H13" s="56"/>
      <c r="I13" s="6"/>
      <c r="J13" s="54"/>
      <c r="K13" s="55"/>
      <c r="L13" s="55"/>
      <c r="M13" s="55"/>
      <c r="N13" s="55"/>
      <c r="O13" s="55" t="s">
        <v>3</v>
      </c>
      <c r="P13" s="56"/>
    </row>
    <row r="14" spans="1:17" ht="15.75" x14ac:dyDescent="0.25">
      <c r="B14" s="57"/>
      <c r="C14" s="58" t="s">
        <v>4</v>
      </c>
      <c r="D14" s="58" t="s">
        <v>5</v>
      </c>
      <c r="E14" s="58" t="s">
        <v>6</v>
      </c>
      <c r="F14" s="58" t="s">
        <v>7</v>
      </c>
      <c r="G14" s="58" t="s">
        <v>8</v>
      </c>
      <c r="H14" s="59" t="s">
        <v>9</v>
      </c>
      <c r="I14" s="6"/>
      <c r="J14" s="57"/>
      <c r="K14" s="58" t="s">
        <v>4</v>
      </c>
      <c r="L14" s="58" t="s">
        <v>5</v>
      </c>
      <c r="M14" s="58" t="s">
        <v>6</v>
      </c>
      <c r="N14" s="58" t="s">
        <v>7</v>
      </c>
      <c r="O14" s="58" t="s">
        <v>8</v>
      </c>
      <c r="P14" s="59" t="s">
        <v>9</v>
      </c>
    </row>
    <row r="15" spans="1:17" ht="15.75" x14ac:dyDescent="0.25">
      <c r="B15" s="60" t="s">
        <v>10</v>
      </c>
      <c r="C15" s="61" t="s">
        <v>11</v>
      </c>
      <c r="D15" s="61" t="s">
        <v>12</v>
      </c>
      <c r="E15" s="61" t="s">
        <v>11</v>
      </c>
      <c r="F15" s="61" t="s">
        <v>13</v>
      </c>
      <c r="G15" s="102">
        <f>Input!P46</f>
        <v>7.0000000000000007E-2</v>
      </c>
      <c r="H15" s="62" t="s">
        <v>14</v>
      </c>
      <c r="I15" s="6"/>
      <c r="J15" s="60" t="s">
        <v>10</v>
      </c>
      <c r="K15" s="61" t="s">
        <v>11</v>
      </c>
      <c r="L15" s="61" t="s">
        <v>12</v>
      </c>
      <c r="M15" s="61" t="s">
        <v>11</v>
      </c>
      <c r="N15" s="61" t="s">
        <v>13</v>
      </c>
      <c r="O15" s="63">
        <f>G15</f>
        <v>7.0000000000000007E-2</v>
      </c>
      <c r="P15" s="62" t="s">
        <v>14</v>
      </c>
    </row>
    <row r="16" spans="1:17" ht="15.75" x14ac:dyDescent="0.25">
      <c r="B16" s="64">
        <v>0</v>
      </c>
      <c r="C16" s="65">
        <f>'Start-Up Costs'!K25</f>
        <v>3934.2752</v>
      </c>
      <c r="D16" s="66">
        <v>0</v>
      </c>
      <c r="E16" s="67">
        <v>0</v>
      </c>
      <c r="F16" s="65">
        <f>-C16+D16-E16</f>
        <v>-3934.2752</v>
      </c>
      <c r="G16" s="68">
        <v>1</v>
      </c>
      <c r="H16" s="69">
        <f t="shared" ref="H16:H34" si="0">F16*G16</f>
        <v>-3934.2752</v>
      </c>
      <c r="I16" s="6"/>
      <c r="J16" s="64">
        <v>0</v>
      </c>
      <c r="K16" s="65">
        <f>C16</f>
        <v>3934.2752</v>
      </c>
      <c r="L16" s="66">
        <f>D16</f>
        <v>0</v>
      </c>
      <c r="M16" s="67">
        <f>-E16</f>
        <v>0</v>
      </c>
      <c r="N16" s="65">
        <f t="shared" ref="N16:N26" si="1">-K16+L16-M16</f>
        <v>-3934.2752</v>
      </c>
      <c r="O16" s="68">
        <v>1</v>
      </c>
      <c r="P16" s="69">
        <f t="shared" ref="P16:P26" si="2">N16*O16</f>
        <v>-3934.2752</v>
      </c>
    </row>
    <row r="17" spans="2:16" ht="15.75" x14ac:dyDescent="0.25">
      <c r="B17" s="64">
        <v>1</v>
      </c>
      <c r="C17" s="70"/>
      <c r="D17" s="71">
        <f>'Enterprise Budget'!$M$43</f>
        <v>3127.9999999999995</v>
      </c>
      <c r="E17" s="71">
        <f>'Enterprise Budget'!$M$31</f>
        <v>2323.9141599999998</v>
      </c>
      <c r="F17" s="65">
        <f t="shared" ref="F17:F34" si="3">D17-E17</f>
        <v>804.08583999999973</v>
      </c>
      <c r="G17" s="72">
        <f t="shared" ref="G17:G34" si="4">1/(1+$G$15)^B17</f>
        <v>0.93457943925233644</v>
      </c>
      <c r="H17" s="69">
        <f t="shared" si="0"/>
        <v>751.48209345794362</v>
      </c>
      <c r="I17" s="6"/>
      <c r="J17" s="64">
        <v>1</v>
      </c>
      <c r="K17" s="435"/>
      <c r="L17" s="66">
        <f t="shared" ref="L17:L26" si="5">D17*$P$11</f>
        <v>2940.3199999999993</v>
      </c>
      <c r="M17" s="73">
        <f t="shared" ref="M17:M26" si="6">E17*$P$12</f>
        <v>2556.3055760000002</v>
      </c>
      <c r="N17" s="65">
        <f t="shared" si="1"/>
        <v>384.01442399999905</v>
      </c>
      <c r="O17" s="72">
        <f t="shared" ref="O17:O26" si="7">1/(1+$G$15)^J17</f>
        <v>0.93457943925233644</v>
      </c>
      <c r="P17" s="69">
        <f t="shared" si="2"/>
        <v>358.89198504672811</v>
      </c>
    </row>
    <row r="18" spans="2:16" ht="15.75" x14ac:dyDescent="0.25">
      <c r="B18" s="64">
        <v>2</v>
      </c>
      <c r="C18" s="70"/>
      <c r="D18" s="71">
        <f>'Enterprise Budget'!$M$43</f>
        <v>3127.9999999999995</v>
      </c>
      <c r="E18" s="71">
        <f>'Enterprise Budget'!$M$31</f>
        <v>2323.9141599999998</v>
      </c>
      <c r="F18" s="65">
        <f t="shared" si="3"/>
        <v>804.08583999999973</v>
      </c>
      <c r="G18" s="72">
        <f t="shared" si="4"/>
        <v>0.87343872827321156</v>
      </c>
      <c r="H18" s="69">
        <f t="shared" si="0"/>
        <v>702.31971351209688</v>
      </c>
      <c r="I18" s="6"/>
      <c r="J18" s="64">
        <v>2</v>
      </c>
      <c r="K18" s="435"/>
      <c r="L18" s="66">
        <f t="shared" si="5"/>
        <v>2940.3199999999993</v>
      </c>
      <c r="M18" s="73">
        <f t="shared" si="6"/>
        <v>2556.3055760000002</v>
      </c>
      <c r="N18" s="65">
        <f t="shared" si="1"/>
        <v>384.01442399999905</v>
      </c>
      <c r="O18" s="72">
        <f t="shared" si="7"/>
        <v>0.87343872827321156</v>
      </c>
      <c r="P18" s="69">
        <f t="shared" si="2"/>
        <v>335.41307013712901</v>
      </c>
    </row>
    <row r="19" spans="2:16" ht="15.75" x14ac:dyDescent="0.25">
      <c r="B19" s="64">
        <v>3</v>
      </c>
      <c r="C19" s="70"/>
      <c r="D19" s="71">
        <f>'Enterprise Budget'!$M$43</f>
        <v>3127.9999999999995</v>
      </c>
      <c r="E19" s="71">
        <f>'Enterprise Budget'!$M$31</f>
        <v>2323.9141599999998</v>
      </c>
      <c r="F19" s="65">
        <f t="shared" si="3"/>
        <v>804.08583999999973</v>
      </c>
      <c r="G19" s="72">
        <f t="shared" si="4"/>
        <v>0.81629787689085187</v>
      </c>
      <c r="H19" s="69">
        <f t="shared" si="0"/>
        <v>656.37356402999694</v>
      </c>
      <c r="I19" s="6"/>
      <c r="J19" s="64">
        <v>3</v>
      </c>
      <c r="K19" s="435"/>
      <c r="L19" s="66">
        <f t="shared" si="5"/>
        <v>2940.3199999999993</v>
      </c>
      <c r="M19" s="73">
        <f t="shared" si="6"/>
        <v>2556.3055760000002</v>
      </c>
      <c r="N19" s="65">
        <f t="shared" si="1"/>
        <v>384.01442399999905</v>
      </c>
      <c r="O19" s="72">
        <f t="shared" si="7"/>
        <v>0.81629787689085187</v>
      </c>
      <c r="P19" s="69">
        <f t="shared" si="2"/>
        <v>313.47015900666264</v>
      </c>
    </row>
    <row r="20" spans="2:16" ht="15.75" x14ac:dyDescent="0.25">
      <c r="B20" s="64">
        <v>4</v>
      </c>
      <c r="C20" s="70"/>
      <c r="D20" s="71">
        <f>'Enterprise Budget'!$M$43</f>
        <v>3127.9999999999995</v>
      </c>
      <c r="E20" s="71">
        <f>'Enterprise Budget'!$M$31</f>
        <v>2323.9141599999998</v>
      </c>
      <c r="F20" s="65">
        <f t="shared" si="3"/>
        <v>804.08583999999973</v>
      </c>
      <c r="G20" s="72">
        <f t="shared" si="4"/>
        <v>0.7628952120475252</v>
      </c>
      <c r="H20" s="69">
        <f t="shared" si="0"/>
        <v>613.43323741121219</v>
      </c>
      <c r="I20" s="6"/>
      <c r="J20" s="64">
        <v>4</v>
      </c>
      <c r="K20" s="435"/>
      <c r="L20" s="66">
        <f t="shared" si="5"/>
        <v>2940.3199999999993</v>
      </c>
      <c r="M20" s="73">
        <f t="shared" si="6"/>
        <v>2556.3055760000002</v>
      </c>
      <c r="N20" s="65">
        <f t="shared" si="1"/>
        <v>384.01442399999905</v>
      </c>
      <c r="O20" s="72">
        <f t="shared" si="7"/>
        <v>0.7628952120475252</v>
      </c>
      <c r="P20" s="69">
        <f t="shared" si="2"/>
        <v>292.96276542678754</v>
      </c>
    </row>
    <row r="21" spans="2:16" ht="15.75" x14ac:dyDescent="0.25">
      <c r="B21" s="64">
        <v>5</v>
      </c>
      <c r="C21" s="70"/>
      <c r="D21" s="71">
        <f>'Enterprise Budget'!$M$43</f>
        <v>3127.9999999999995</v>
      </c>
      <c r="E21" s="71">
        <f>'Enterprise Budget'!$M$31</f>
        <v>2323.9141599999998</v>
      </c>
      <c r="F21" s="65">
        <f t="shared" si="3"/>
        <v>804.08583999999973</v>
      </c>
      <c r="G21" s="72">
        <f t="shared" si="4"/>
        <v>0.71298617948366838</v>
      </c>
      <c r="H21" s="69">
        <f t="shared" si="0"/>
        <v>573.3020910385161</v>
      </c>
      <c r="I21" s="6"/>
      <c r="J21" s="64">
        <v>5</v>
      </c>
      <c r="K21" s="435"/>
      <c r="L21" s="66">
        <f t="shared" si="5"/>
        <v>2940.3199999999993</v>
      </c>
      <c r="M21" s="73">
        <f t="shared" si="6"/>
        <v>2556.3055760000002</v>
      </c>
      <c r="N21" s="65">
        <f t="shared" si="1"/>
        <v>384.01442399999905</v>
      </c>
      <c r="O21" s="72">
        <f t="shared" si="7"/>
        <v>0.71298617948366838</v>
      </c>
      <c r="P21" s="69">
        <f t="shared" si="2"/>
        <v>273.79697703438086</v>
      </c>
    </row>
    <row r="22" spans="2:16" ht="15.75" x14ac:dyDescent="0.25">
      <c r="B22" s="64">
        <v>6</v>
      </c>
      <c r="C22" s="70"/>
      <c r="D22" s="71">
        <f>'Enterprise Budget'!$M$43</f>
        <v>3127.9999999999995</v>
      </c>
      <c r="E22" s="71">
        <f>'Enterprise Budget'!$M$31</f>
        <v>2323.9141599999998</v>
      </c>
      <c r="F22" s="65">
        <f t="shared" si="3"/>
        <v>804.08583999999973</v>
      </c>
      <c r="G22" s="72">
        <f t="shared" si="4"/>
        <v>0.66634222381651254</v>
      </c>
      <c r="H22" s="69">
        <f t="shared" si="0"/>
        <v>535.79634676496835</v>
      </c>
      <c r="I22" s="6"/>
      <c r="J22" s="64">
        <v>6</v>
      </c>
      <c r="K22" s="435"/>
      <c r="L22" s="66">
        <f t="shared" si="5"/>
        <v>2940.3199999999993</v>
      </c>
      <c r="M22" s="73">
        <f t="shared" si="6"/>
        <v>2556.3055760000002</v>
      </c>
      <c r="N22" s="65">
        <f t="shared" si="1"/>
        <v>384.01442399999905</v>
      </c>
      <c r="O22" s="72">
        <f t="shared" si="7"/>
        <v>0.66634222381651254</v>
      </c>
      <c r="P22" s="69">
        <f t="shared" si="2"/>
        <v>255.88502526577651</v>
      </c>
    </row>
    <row r="23" spans="2:16" ht="15.75" x14ac:dyDescent="0.25">
      <c r="B23" s="64">
        <v>7</v>
      </c>
      <c r="C23" s="70"/>
      <c r="D23" s="71">
        <f>'Enterprise Budget'!$M$43</f>
        <v>3127.9999999999995</v>
      </c>
      <c r="E23" s="71">
        <f>'Enterprise Budget'!$M$31</f>
        <v>2323.9141599999998</v>
      </c>
      <c r="F23" s="65">
        <f t="shared" si="3"/>
        <v>804.08583999999973</v>
      </c>
      <c r="G23" s="72">
        <f t="shared" si="4"/>
        <v>0.62274974188459109</v>
      </c>
      <c r="H23" s="69">
        <f t="shared" si="0"/>
        <v>500.74424931305447</v>
      </c>
      <c r="I23" s="6"/>
      <c r="J23" s="64">
        <v>7</v>
      </c>
      <c r="K23" s="435"/>
      <c r="L23" s="66">
        <f t="shared" si="5"/>
        <v>2940.3199999999993</v>
      </c>
      <c r="M23" s="73">
        <f t="shared" si="6"/>
        <v>2556.3055760000002</v>
      </c>
      <c r="N23" s="65">
        <f t="shared" si="1"/>
        <v>384.01442399999905</v>
      </c>
      <c r="O23" s="72">
        <f t="shared" si="7"/>
        <v>0.62274974188459109</v>
      </c>
      <c r="P23" s="69">
        <f t="shared" si="2"/>
        <v>239.14488342595934</v>
      </c>
    </row>
    <row r="24" spans="2:16" ht="15.75" x14ac:dyDescent="0.25">
      <c r="B24" s="64">
        <v>8</v>
      </c>
      <c r="C24" s="70"/>
      <c r="D24" s="71">
        <f>'Enterprise Budget'!$M$43</f>
        <v>3127.9999999999995</v>
      </c>
      <c r="E24" s="71">
        <f>'Enterprise Budget'!$M$31</f>
        <v>2323.9141599999998</v>
      </c>
      <c r="F24" s="65">
        <f t="shared" si="3"/>
        <v>804.08583999999973</v>
      </c>
      <c r="G24" s="72">
        <f t="shared" si="4"/>
        <v>0.5820091045650384</v>
      </c>
      <c r="H24" s="69">
        <f t="shared" si="0"/>
        <v>467.98527973182661</v>
      </c>
      <c r="I24" s="6"/>
      <c r="J24" s="64">
        <v>8</v>
      </c>
      <c r="K24" s="435"/>
      <c r="L24" s="66">
        <f t="shared" si="5"/>
        <v>2940.3199999999993</v>
      </c>
      <c r="M24" s="73">
        <f t="shared" si="6"/>
        <v>2556.3055760000002</v>
      </c>
      <c r="N24" s="65">
        <f t="shared" si="1"/>
        <v>384.01442399999905</v>
      </c>
      <c r="O24" s="72">
        <f t="shared" si="7"/>
        <v>0.5820091045650384</v>
      </c>
      <c r="P24" s="69">
        <f t="shared" si="2"/>
        <v>223.49989105229844</v>
      </c>
    </row>
    <row r="25" spans="2:16" ht="15.75" x14ac:dyDescent="0.25">
      <c r="B25" s="64">
        <v>9</v>
      </c>
      <c r="C25" s="70"/>
      <c r="D25" s="71">
        <f>'Enterprise Budget'!$M$43</f>
        <v>3127.9999999999995</v>
      </c>
      <c r="E25" s="71">
        <f>'Enterprise Budget'!$M$31</f>
        <v>2323.9141599999998</v>
      </c>
      <c r="F25" s="65">
        <f t="shared" si="3"/>
        <v>804.08583999999973</v>
      </c>
      <c r="G25" s="72">
        <f t="shared" si="4"/>
        <v>0.54393374258414806</v>
      </c>
      <c r="H25" s="69">
        <f t="shared" si="0"/>
        <v>437.3694203101183</v>
      </c>
      <c r="I25" s="6"/>
      <c r="J25" s="64">
        <v>9</v>
      </c>
      <c r="K25" s="435"/>
      <c r="L25" s="66">
        <f t="shared" si="5"/>
        <v>2940.3199999999993</v>
      </c>
      <c r="M25" s="73">
        <f t="shared" si="6"/>
        <v>2556.3055760000002</v>
      </c>
      <c r="N25" s="65">
        <f t="shared" si="1"/>
        <v>384.01442399999905</v>
      </c>
      <c r="O25" s="72">
        <f t="shared" si="7"/>
        <v>0.54393374258414806</v>
      </c>
      <c r="P25" s="69">
        <f t="shared" si="2"/>
        <v>208.87840285261538</v>
      </c>
    </row>
    <row r="26" spans="2:16" ht="15.75" x14ac:dyDescent="0.25">
      <c r="B26" s="64">
        <v>10</v>
      </c>
      <c r="C26" s="70"/>
      <c r="D26" s="71">
        <f>'Enterprise Budget'!$M$43</f>
        <v>3127.9999999999995</v>
      </c>
      <c r="E26" s="71">
        <f>'Enterprise Budget'!$M$31</f>
        <v>2323.9141599999998</v>
      </c>
      <c r="F26" s="65">
        <f t="shared" si="3"/>
        <v>804.08583999999973</v>
      </c>
      <c r="G26" s="72">
        <f t="shared" si="4"/>
        <v>0.5083492921347178</v>
      </c>
      <c r="H26" s="69">
        <f t="shared" si="0"/>
        <v>408.75646757954985</v>
      </c>
      <c r="I26" s="6"/>
      <c r="J26" s="64">
        <v>10</v>
      </c>
      <c r="K26" s="435"/>
      <c r="L26" s="66">
        <f t="shared" si="5"/>
        <v>2940.3199999999993</v>
      </c>
      <c r="M26" s="73">
        <f t="shared" si="6"/>
        <v>2556.3055760000002</v>
      </c>
      <c r="N26" s="65">
        <f t="shared" si="1"/>
        <v>384.01442399999905</v>
      </c>
      <c r="O26" s="72">
        <f t="shared" si="7"/>
        <v>0.5083492921347178</v>
      </c>
      <c r="P26" s="69">
        <f t="shared" si="2"/>
        <v>195.2134606099209</v>
      </c>
    </row>
    <row r="27" spans="2:16" ht="15.75" x14ac:dyDescent="0.25">
      <c r="B27" s="64">
        <v>11</v>
      </c>
      <c r="C27" s="434"/>
      <c r="D27" s="71">
        <f>'Enterprise Budget'!$M$43</f>
        <v>3127.9999999999995</v>
      </c>
      <c r="E27" s="71">
        <f>'Enterprise Budget'!$M$31</f>
        <v>2323.9141599999998</v>
      </c>
      <c r="F27" s="65">
        <f t="shared" si="3"/>
        <v>804.08583999999973</v>
      </c>
      <c r="G27" s="72">
        <f t="shared" si="4"/>
        <v>0.47509279638758667</v>
      </c>
      <c r="H27" s="69">
        <f t="shared" si="0"/>
        <v>382.01539026126147</v>
      </c>
      <c r="I27" s="6"/>
      <c r="J27" s="64">
        <v>11</v>
      </c>
      <c r="K27" s="436"/>
      <c r="L27" s="66">
        <f t="shared" ref="L27:L34" si="8">D27*$P$11</f>
        <v>2940.3199999999993</v>
      </c>
      <c r="M27" s="73">
        <f t="shared" ref="M27:M34" si="9">E27*$P$12</f>
        <v>2556.3055760000002</v>
      </c>
      <c r="N27" s="65">
        <f t="shared" ref="N27:N34" si="10">-K27+L27-M27</f>
        <v>384.01442399999905</v>
      </c>
      <c r="O27" s="72">
        <f t="shared" ref="O27:O34" si="11">1/(1+$G$15)^J27</f>
        <v>0.47509279638758667</v>
      </c>
      <c r="P27" s="69">
        <f t="shared" ref="P27:P34" si="12">N27*O27</f>
        <v>182.44248655132793</v>
      </c>
    </row>
    <row r="28" spans="2:16" ht="15.75" x14ac:dyDescent="0.25">
      <c r="B28" s="64">
        <v>12</v>
      </c>
      <c r="C28" s="434"/>
      <c r="D28" s="71">
        <f>'Enterprise Budget'!$M$43</f>
        <v>3127.9999999999995</v>
      </c>
      <c r="E28" s="71">
        <f>'Enterprise Budget'!$M$31</f>
        <v>2323.9141599999998</v>
      </c>
      <c r="F28" s="65">
        <f t="shared" si="3"/>
        <v>804.08583999999973</v>
      </c>
      <c r="G28" s="72">
        <f t="shared" si="4"/>
        <v>0.44401195924073528</v>
      </c>
      <c r="H28" s="69">
        <f t="shared" si="0"/>
        <v>357.02372921613227</v>
      </c>
      <c r="I28" s="6"/>
      <c r="J28" s="64">
        <v>12</v>
      </c>
      <c r="K28" s="436"/>
      <c r="L28" s="66">
        <f t="shared" si="8"/>
        <v>2940.3199999999993</v>
      </c>
      <c r="M28" s="73">
        <f t="shared" si="9"/>
        <v>2556.3055760000002</v>
      </c>
      <c r="N28" s="65">
        <f t="shared" si="10"/>
        <v>384.01442399999905</v>
      </c>
      <c r="O28" s="72">
        <f t="shared" si="11"/>
        <v>0.44401195924073528</v>
      </c>
      <c r="P28" s="69">
        <f t="shared" si="12"/>
        <v>170.506996776942</v>
      </c>
    </row>
    <row r="29" spans="2:16" ht="15.75" x14ac:dyDescent="0.25">
      <c r="B29" s="64">
        <v>13</v>
      </c>
      <c r="C29" s="434"/>
      <c r="D29" s="71">
        <f>'Enterprise Budget'!$M$43</f>
        <v>3127.9999999999995</v>
      </c>
      <c r="E29" s="71">
        <f>'Enterprise Budget'!$M$31</f>
        <v>2323.9141599999998</v>
      </c>
      <c r="F29" s="65">
        <f t="shared" si="3"/>
        <v>804.08583999999973</v>
      </c>
      <c r="G29" s="72">
        <f t="shared" si="4"/>
        <v>0.41496444788853759</v>
      </c>
      <c r="H29" s="69">
        <f t="shared" si="0"/>
        <v>333.66703665059089</v>
      </c>
      <c r="I29" s="6"/>
      <c r="J29" s="64">
        <v>13</v>
      </c>
      <c r="K29" s="436"/>
      <c r="L29" s="66">
        <f t="shared" si="8"/>
        <v>2940.3199999999993</v>
      </c>
      <c r="M29" s="73">
        <f t="shared" si="9"/>
        <v>2556.3055760000002</v>
      </c>
      <c r="N29" s="65">
        <f t="shared" si="10"/>
        <v>384.01442399999905</v>
      </c>
      <c r="O29" s="72">
        <f t="shared" si="11"/>
        <v>0.41496444788853759</v>
      </c>
      <c r="P29" s="69">
        <f t="shared" si="12"/>
        <v>159.35233343639439</v>
      </c>
    </row>
    <row r="30" spans="2:16" ht="15.75" x14ac:dyDescent="0.25">
      <c r="B30" s="64">
        <v>14</v>
      </c>
      <c r="C30" s="434"/>
      <c r="D30" s="71">
        <f>'Enterprise Budget'!$M$43</f>
        <v>3127.9999999999995</v>
      </c>
      <c r="E30" s="71">
        <f>'Enterprise Budget'!$M$31</f>
        <v>2323.9141599999998</v>
      </c>
      <c r="F30" s="65">
        <f t="shared" si="3"/>
        <v>804.08583999999973</v>
      </c>
      <c r="G30" s="72">
        <f t="shared" si="4"/>
        <v>0.3878172410173249</v>
      </c>
      <c r="H30" s="69">
        <f t="shared" si="0"/>
        <v>311.83835200989802</v>
      </c>
      <c r="I30" s="6"/>
      <c r="J30" s="64">
        <v>14</v>
      </c>
      <c r="K30" s="436"/>
      <c r="L30" s="66">
        <f t="shared" si="8"/>
        <v>2940.3199999999993</v>
      </c>
      <c r="M30" s="73">
        <f t="shared" si="9"/>
        <v>2556.3055760000002</v>
      </c>
      <c r="N30" s="65">
        <f t="shared" si="10"/>
        <v>384.01442399999905</v>
      </c>
      <c r="O30" s="72">
        <f t="shared" si="11"/>
        <v>0.3878172410173249</v>
      </c>
      <c r="P30" s="69">
        <f t="shared" si="12"/>
        <v>148.92741442653681</v>
      </c>
    </row>
    <row r="31" spans="2:16" ht="15.75" x14ac:dyDescent="0.25">
      <c r="B31" s="64">
        <v>15</v>
      </c>
      <c r="C31" s="434"/>
      <c r="D31" s="71">
        <f>'Enterprise Budget'!$M$43</f>
        <v>3127.9999999999995</v>
      </c>
      <c r="E31" s="71">
        <f>'Enterprise Budget'!$M$31</f>
        <v>2323.9141599999998</v>
      </c>
      <c r="F31" s="65">
        <f t="shared" si="3"/>
        <v>804.08583999999973</v>
      </c>
      <c r="G31" s="72">
        <f t="shared" si="4"/>
        <v>0.36244601964235967</v>
      </c>
      <c r="H31" s="69">
        <f t="shared" si="0"/>
        <v>291.4377121587832</v>
      </c>
      <c r="I31" s="6"/>
      <c r="J31" s="64">
        <v>15</v>
      </c>
      <c r="K31" s="436"/>
      <c r="L31" s="66">
        <f t="shared" si="8"/>
        <v>2940.3199999999993</v>
      </c>
      <c r="M31" s="73">
        <f t="shared" si="9"/>
        <v>2556.3055760000002</v>
      </c>
      <c r="N31" s="65">
        <f t="shared" si="10"/>
        <v>384.01442399999905</v>
      </c>
      <c r="O31" s="72">
        <f t="shared" si="11"/>
        <v>0.36244601964235967</v>
      </c>
      <c r="P31" s="69">
        <f t="shared" si="12"/>
        <v>139.18449946405309</v>
      </c>
    </row>
    <row r="32" spans="2:16" ht="15.75" x14ac:dyDescent="0.25">
      <c r="B32" s="64">
        <v>16</v>
      </c>
      <c r="C32" s="434"/>
      <c r="D32" s="71">
        <f>'Enterprise Budget'!$M$43</f>
        <v>3127.9999999999995</v>
      </c>
      <c r="E32" s="71">
        <f>'Enterprise Budget'!$M$31</f>
        <v>2323.9141599999998</v>
      </c>
      <c r="F32" s="65">
        <f t="shared" si="3"/>
        <v>804.08583999999973</v>
      </c>
      <c r="G32" s="72">
        <f t="shared" si="4"/>
        <v>0.33873459779659787</v>
      </c>
      <c r="H32" s="69">
        <f t="shared" si="0"/>
        <v>272.37169360633948</v>
      </c>
      <c r="I32" s="6"/>
      <c r="J32" s="64">
        <v>16</v>
      </c>
      <c r="K32" s="436"/>
      <c r="L32" s="66">
        <f t="shared" si="8"/>
        <v>2940.3199999999993</v>
      </c>
      <c r="M32" s="73">
        <f t="shared" si="9"/>
        <v>2556.3055760000002</v>
      </c>
      <c r="N32" s="65">
        <f t="shared" si="10"/>
        <v>384.01442399999905</v>
      </c>
      <c r="O32" s="72">
        <f t="shared" si="11"/>
        <v>0.33873459779659787</v>
      </c>
      <c r="P32" s="69">
        <f t="shared" si="12"/>
        <v>130.07897146173187</v>
      </c>
    </row>
    <row r="33" spans="1:17" ht="15.75" x14ac:dyDescent="0.25">
      <c r="B33" s="64">
        <v>17</v>
      </c>
      <c r="C33" s="434"/>
      <c r="D33" s="71">
        <f>'Enterprise Budget'!$M$43</f>
        <v>3127.9999999999995</v>
      </c>
      <c r="E33" s="71">
        <f>'Enterprise Budget'!$M$31</f>
        <v>2323.9141599999998</v>
      </c>
      <c r="F33" s="65">
        <f t="shared" si="3"/>
        <v>804.08583999999973</v>
      </c>
      <c r="G33" s="72">
        <f t="shared" si="4"/>
        <v>0.31657439046411018</v>
      </c>
      <c r="H33" s="69">
        <f t="shared" si="0"/>
        <v>254.55298467882193</v>
      </c>
      <c r="I33" s="6"/>
      <c r="J33" s="64">
        <v>17</v>
      </c>
      <c r="K33" s="436"/>
      <c r="L33" s="66">
        <f t="shared" si="8"/>
        <v>2940.3199999999993</v>
      </c>
      <c r="M33" s="73">
        <f t="shared" si="9"/>
        <v>2556.3055760000002</v>
      </c>
      <c r="N33" s="65">
        <f t="shared" si="10"/>
        <v>384.01442399999905</v>
      </c>
      <c r="O33" s="72">
        <f t="shared" si="11"/>
        <v>0.31657439046411018</v>
      </c>
      <c r="P33" s="69">
        <f t="shared" si="12"/>
        <v>121.56913220722606</v>
      </c>
    </row>
    <row r="34" spans="1:17" ht="15.75" x14ac:dyDescent="0.25">
      <c r="B34" s="64">
        <v>18</v>
      </c>
      <c r="C34" s="434"/>
      <c r="D34" s="71">
        <f>'Enterprise Budget'!$M$43</f>
        <v>3127.9999999999995</v>
      </c>
      <c r="E34" s="71">
        <f>'Enterprise Budget'!$M$31</f>
        <v>2323.9141599999998</v>
      </c>
      <c r="F34" s="65">
        <f t="shared" si="3"/>
        <v>804.08583999999973</v>
      </c>
      <c r="G34" s="72">
        <f t="shared" si="4"/>
        <v>0.29586391632159825</v>
      </c>
      <c r="H34" s="69">
        <f t="shared" si="0"/>
        <v>237.89998568114197</v>
      </c>
      <c r="I34" s="6"/>
      <c r="J34" s="64">
        <v>18</v>
      </c>
      <c r="K34" s="436"/>
      <c r="L34" s="66">
        <f t="shared" si="8"/>
        <v>2940.3199999999993</v>
      </c>
      <c r="M34" s="73">
        <f t="shared" si="9"/>
        <v>2556.3055760000002</v>
      </c>
      <c r="N34" s="65">
        <f t="shared" si="10"/>
        <v>384.01442399999905</v>
      </c>
      <c r="O34" s="72">
        <f t="shared" si="11"/>
        <v>0.29586391632159825</v>
      </c>
      <c r="P34" s="69">
        <f t="shared" si="12"/>
        <v>113.61601140862247</v>
      </c>
    </row>
    <row r="35" spans="1:17" ht="16.5" thickBot="1" x14ac:dyDescent="0.3">
      <c r="B35" s="468" t="s">
        <v>15</v>
      </c>
      <c r="C35" s="469"/>
      <c r="D35" s="469"/>
      <c r="E35" s="469"/>
      <c r="F35" s="469"/>
      <c r="G35" s="469"/>
      <c r="H35" s="74">
        <f>SUM(H16:H34)</f>
        <v>4154.0941474122528</v>
      </c>
      <c r="I35" s="6"/>
      <c r="J35" s="461" t="s">
        <v>15</v>
      </c>
      <c r="K35" s="462"/>
      <c r="L35" s="462"/>
      <c r="M35" s="462"/>
      <c r="N35" s="462"/>
      <c r="O35" s="463"/>
      <c r="P35" s="74">
        <f>SUM(P16:P34)</f>
        <v>-71.440734408906835</v>
      </c>
    </row>
    <row r="36" spans="1:17" x14ac:dyDescent="0.25">
      <c r="A36" s="6"/>
      <c r="B36" s="6"/>
      <c r="C36" s="6"/>
      <c r="D36" s="6"/>
      <c r="E36" s="6"/>
      <c r="F36" s="6"/>
      <c r="G36" s="6"/>
      <c r="H36" s="6"/>
      <c r="I36" s="6"/>
      <c r="J36" s="6"/>
      <c r="K36" s="6"/>
      <c r="L36" s="6"/>
      <c r="M36" s="6"/>
      <c r="N36" s="6"/>
      <c r="O36" s="6"/>
      <c r="P36" s="6"/>
      <c r="Q36" s="6"/>
    </row>
    <row r="37" spans="1:17" s="76" customFormat="1" ht="15.75" x14ac:dyDescent="0.25">
      <c r="B37" s="28" t="s">
        <v>85</v>
      </c>
      <c r="C37" s="88" t="s">
        <v>43</v>
      </c>
      <c r="D37" s="75"/>
      <c r="E37" s="75"/>
      <c r="F37" s="75"/>
      <c r="G37" s="75"/>
      <c r="H37" s="75"/>
      <c r="I37" s="75"/>
      <c r="J37" s="75"/>
      <c r="K37" s="75"/>
      <c r="L37" s="75"/>
      <c r="M37" s="75"/>
      <c r="N37" s="75"/>
      <c r="O37" s="75"/>
      <c r="P37" s="75"/>
      <c r="Q37" s="75"/>
    </row>
    <row r="38" spans="1:17" s="76" customFormat="1" ht="15.75" x14ac:dyDescent="0.25">
      <c r="B38" s="30" t="s">
        <v>84</v>
      </c>
      <c r="C38" s="85" t="str">
        <f>Input!I11</f>
        <v>Irrigated</v>
      </c>
      <c r="D38" s="75"/>
      <c r="E38" s="75"/>
      <c r="F38" s="75"/>
      <c r="G38" s="75"/>
      <c r="H38" s="75"/>
      <c r="I38" s="75"/>
      <c r="J38" s="75"/>
      <c r="K38" s="75"/>
      <c r="L38" s="75"/>
      <c r="M38" s="75"/>
      <c r="N38" s="75"/>
      <c r="O38" s="75"/>
      <c r="P38" s="75"/>
      <c r="Q38" s="75"/>
    </row>
    <row r="39" spans="1:17" ht="16.5" thickBot="1" x14ac:dyDescent="0.3">
      <c r="B39" s="83" t="s">
        <v>86</v>
      </c>
      <c r="C39" s="89" t="s">
        <v>38</v>
      </c>
      <c r="D39" s="6"/>
      <c r="E39" s="6"/>
      <c r="F39" s="6"/>
      <c r="G39" s="6"/>
      <c r="H39" s="6"/>
      <c r="I39" s="6"/>
      <c r="J39" s="6"/>
      <c r="K39" s="6"/>
      <c r="L39" s="6"/>
      <c r="M39" s="6"/>
      <c r="N39" s="6"/>
      <c r="O39" s="6"/>
      <c r="P39" s="6"/>
      <c r="Q39" s="6"/>
    </row>
    <row r="40" spans="1:17" ht="19.5" thickBot="1" x14ac:dyDescent="0.35">
      <c r="B40" s="458" t="s">
        <v>16</v>
      </c>
      <c r="C40" s="459"/>
      <c r="D40" s="459"/>
      <c r="E40" s="459"/>
      <c r="F40" s="459"/>
      <c r="G40" s="459"/>
      <c r="H40" s="460"/>
      <c r="I40" s="6"/>
      <c r="J40" s="458" t="s">
        <v>17</v>
      </c>
      <c r="K40" s="459"/>
      <c r="L40" s="459"/>
      <c r="M40" s="459"/>
      <c r="N40" s="459"/>
      <c r="O40" s="459"/>
      <c r="P40" s="460"/>
    </row>
    <row r="41" spans="1:17" ht="15.75" x14ac:dyDescent="0.25">
      <c r="B41" s="49"/>
      <c r="C41" s="6"/>
      <c r="D41" s="6"/>
      <c r="E41" s="6"/>
      <c r="F41" s="6"/>
      <c r="G41" s="6"/>
      <c r="H41" s="50"/>
      <c r="I41" s="6"/>
      <c r="J41" s="49"/>
      <c r="K41" s="6"/>
      <c r="L41" s="6"/>
      <c r="M41" s="464" t="s">
        <v>18</v>
      </c>
      <c r="N41" s="464"/>
      <c r="O41" s="464"/>
      <c r="P41" s="77">
        <f>P11</f>
        <v>0.94</v>
      </c>
    </row>
    <row r="42" spans="1:17" ht="18.75" x14ac:dyDescent="0.3">
      <c r="B42" s="49"/>
      <c r="C42" s="6"/>
      <c r="D42" s="6"/>
      <c r="E42" s="6"/>
      <c r="F42" s="6"/>
      <c r="G42" s="6"/>
      <c r="H42" s="50"/>
      <c r="I42" s="6"/>
      <c r="J42" s="52"/>
      <c r="K42" s="6"/>
      <c r="L42" s="6"/>
      <c r="M42" s="465" t="s">
        <v>19</v>
      </c>
      <c r="N42" s="466"/>
      <c r="O42" s="467"/>
      <c r="P42" s="78">
        <f>P12</f>
        <v>1.1000000000000001</v>
      </c>
    </row>
    <row r="43" spans="1:17" ht="15.75" x14ac:dyDescent="0.25">
      <c r="B43" s="54"/>
      <c r="C43" s="55"/>
      <c r="D43" s="55"/>
      <c r="E43" s="55"/>
      <c r="F43" s="55"/>
      <c r="G43" s="55" t="s">
        <v>3</v>
      </c>
      <c r="H43" s="56"/>
      <c r="I43" s="6"/>
      <c r="J43" s="54"/>
      <c r="K43" s="55"/>
      <c r="L43" s="55"/>
      <c r="M43" s="55"/>
      <c r="N43" s="55"/>
      <c r="O43" s="55" t="s">
        <v>3</v>
      </c>
      <c r="P43" s="56"/>
    </row>
    <row r="44" spans="1:17" ht="15.75" x14ac:dyDescent="0.25">
      <c r="B44" s="57"/>
      <c r="C44" s="58" t="s">
        <v>4</v>
      </c>
      <c r="D44" s="58" t="s">
        <v>5</v>
      </c>
      <c r="E44" s="58" t="s">
        <v>6</v>
      </c>
      <c r="F44" s="58" t="s">
        <v>7</v>
      </c>
      <c r="G44" s="58" t="s">
        <v>8</v>
      </c>
      <c r="H44" s="59" t="s">
        <v>9</v>
      </c>
      <c r="I44" s="6"/>
      <c r="J44" s="57"/>
      <c r="K44" s="58" t="s">
        <v>4</v>
      </c>
      <c r="L44" s="58" t="s">
        <v>5</v>
      </c>
      <c r="M44" s="58" t="s">
        <v>6</v>
      </c>
      <c r="N44" s="58" t="s">
        <v>7</v>
      </c>
      <c r="O44" s="58" t="s">
        <v>8</v>
      </c>
      <c r="P44" s="59" t="s">
        <v>9</v>
      </c>
    </row>
    <row r="45" spans="1:17" ht="15.75" x14ac:dyDescent="0.25">
      <c r="B45" s="60" t="s">
        <v>10</v>
      </c>
      <c r="C45" s="61" t="s">
        <v>11</v>
      </c>
      <c r="D45" s="61" t="s">
        <v>12</v>
      </c>
      <c r="E45" s="61" t="s">
        <v>11</v>
      </c>
      <c r="F45" s="61" t="s">
        <v>13</v>
      </c>
      <c r="G45" s="79">
        <f>G15</f>
        <v>7.0000000000000007E-2</v>
      </c>
      <c r="H45" s="62" t="s">
        <v>14</v>
      </c>
      <c r="I45" s="6"/>
      <c r="J45" s="60" t="s">
        <v>10</v>
      </c>
      <c r="K45" s="61" t="s">
        <v>11</v>
      </c>
      <c r="L45" s="61" t="s">
        <v>12</v>
      </c>
      <c r="M45" s="61" t="s">
        <v>11</v>
      </c>
      <c r="N45" s="61" t="s">
        <v>13</v>
      </c>
      <c r="O45" s="63">
        <f>G45</f>
        <v>7.0000000000000007E-2</v>
      </c>
      <c r="P45" s="62" t="s">
        <v>14</v>
      </c>
    </row>
    <row r="46" spans="1:17" ht="15.75" x14ac:dyDescent="0.25">
      <c r="B46" s="64">
        <v>0</v>
      </c>
      <c r="C46" s="65">
        <f>'Start-Up Costs'!N25</f>
        <v>4054.2752</v>
      </c>
      <c r="D46" s="66">
        <v>0</v>
      </c>
      <c r="E46" s="67">
        <v>0</v>
      </c>
      <c r="F46" s="65">
        <f>-C46+D46-E46</f>
        <v>-4054.2752</v>
      </c>
      <c r="G46" s="68">
        <v>1</v>
      </c>
      <c r="H46" s="69">
        <f t="shared" ref="H46:H56" si="13">F46*G46</f>
        <v>-4054.2752</v>
      </c>
      <c r="I46" s="6"/>
      <c r="J46" s="64">
        <v>0</v>
      </c>
      <c r="K46" s="65">
        <f>C46</f>
        <v>4054.2752</v>
      </c>
      <c r="L46" s="66">
        <f>D46</f>
        <v>0</v>
      </c>
      <c r="M46" s="67">
        <f>-E46</f>
        <v>0</v>
      </c>
      <c r="N46" s="65">
        <f t="shared" ref="N46:N56" si="14">-K46+L46-M46</f>
        <v>-4054.2752</v>
      </c>
      <c r="O46" s="68">
        <v>1</v>
      </c>
      <c r="P46" s="69">
        <f t="shared" ref="P46:P56" si="15">N46*O46</f>
        <v>-4054.2752</v>
      </c>
    </row>
    <row r="47" spans="1:17" ht="15.75" x14ac:dyDescent="0.25">
      <c r="B47" s="64">
        <v>1</v>
      </c>
      <c r="C47" s="70"/>
      <c r="D47" s="71">
        <f>'Enterprise Budget'!$P$43</f>
        <v>3127.9999999999995</v>
      </c>
      <c r="E47" s="71">
        <f>'Enterprise Budget'!$P$31</f>
        <v>2323.9141599999998</v>
      </c>
      <c r="F47" s="65">
        <f t="shared" ref="F47:F56" si="16">D47-E47</f>
        <v>804.08583999999973</v>
      </c>
      <c r="G47" s="72">
        <f t="shared" ref="G47:G56" si="17">1/(1+$G$15)^B47</f>
        <v>0.93457943925233644</v>
      </c>
      <c r="H47" s="69">
        <f t="shared" si="13"/>
        <v>751.48209345794362</v>
      </c>
      <c r="I47" s="6"/>
      <c r="J47" s="64">
        <v>1</v>
      </c>
      <c r="K47" s="435"/>
      <c r="L47" s="66">
        <f t="shared" ref="L47:L56" si="18">D47*$P$11</f>
        <v>2940.3199999999993</v>
      </c>
      <c r="M47" s="73">
        <f t="shared" ref="M47:M56" si="19">E47*$P$12</f>
        <v>2556.3055760000002</v>
      </c>
      <c r="N47" s="65">
        <f t="shared" si="14"/>
        <v>384.01442399999905</v>
      </c>
      <c r="O47" s="72">
        <f t="shared" ref="O47:O56" si="20">1/(1+$G$15)^J47</f>
        <v>0.93457943925233644</v>
      </c>
      <c r="P47" s="69">
        <f t="shared" si="15"/>
        <v>358.89198504672811</v>
      </c>
    </row>
    <row r="48" spans="1:17" ht="15.75" x14ac:dyDescent="0.25">
      <c r="B48" s="64">
        <v>2</v>
      </c>
      <c r="C48" s="70"/>
      <c r="D48" s="71">
        <f>'Enterprise Budget'!$P$43</f>
        <v>3127.9999999999995</v>
      </c>
      <c r="E48" s="71">
        <f>'Enterprise Budget'!$P$31</f>
        <v>2323.9141599999998</v>
      </c>
      <c r="F48" s="65">
        <f t="shared" si="16"/>
        <v>804.08583999999973</v>
      </c>
      <c r="G48" s="72">
        <f t="shared" si="17"/>
        <v>0.87343872827321156</v>
      </c>
      <c r="H48" s="69">
        <f t="shared" si="13"/>
        <v>702.31971351209688</v>
      </c>
      <c r="I48" s="6"/>
      <c r="J48" s="64">
        <v>2</v>
      </c>
      <c r="K48" s="435"/>
      <c r="L48" s="66">
        <f t="shared" si="18"/>
        <v>2940.3199999999993</v>
      </c>
      <c r="M48" s="73">
        <f t="shared" si="19"/>
        <v>2556.3055760000002</v>
      </c>
      <c r="N48" s="65">
        <f t="shared" si="14"/>
        <v>384.01442399999905</v>
      </c>
      <c r="O48" s="72">
        <f t="shared" si="20"/>
        <v>0.87343872827321156</v>
      </c>
      <c r="P48" s="69">
        <f t="shared" si="15"/>
        <v>335.41307013712901</v>
      </c>
    </row>
    <row r="49" spans="2:16" ht="15.75" x14ac:dyDescent="0.25">
      <c r="B49" s="64">
        <v>3</v>
      </c>
      <c r="C49" s="70"/>
      <c r="D49" s="71">
        <f>'Enterprise Budget'!$P$43</f>
        <v>3127.9999999999995</v>
      </c>
      <c r="E49" s="71">
        <f>'Enterprise Budget'!$P$31</f>
        <v>2323.9141599999998</v>
      </c>
      <c r="F49" s="65">
        <f t="shared" si="16"/>
        <v>804.08583999999973</v>
      </c>
      <c r="G49" s="72">
        <f t="shared" si="17"/>
        <v>0.81629787689085187</v>
      </c>
      <c r="H49" s="69">
        <f t="shared" si="13"/>
        <v>656.37356402999694</v>
      </c>
      <c r="I49" s="6"/>
      <c r="J49" s="64">
        <v>3</v>
      </c>
      <c r="K49" s="435"/>
      <c r="L49" s="66">
        <f t="shared" si="18"/>
        <v>2940.3199999999993</v>
      </c>
      <c r="M49" s="73">
        <f t="shared" si="19"/>
        <v>2556.3055760000002</v>
      </c>
      <c r="N49" s="65">
        <f t="shared" si="14"/>
        <v>384.01442399999905</v>
      </c>
      <c r="O49" s="72">
        <f t="shared" si="20"/>
        <v>0.81629787689085187</v>
      </c>
      <c r="P49" s="69">
        <f t="shared" si="15"/>
        <v>313.47015900666264</v>
      </c>
    </row>
    <row r="50" spans="2:16" ht="15.75" x14ac:dyDescent="0.25">
      <c r="B50" s="64">
        <v>4</v>
      </c>
      <c r="C50" s="70"/>
      <c r="D50" s="71">
        <f>'Enterprise Budget'!$P$43</f>
        <v>3127.9999999999995</v>
      </c>
      <c r="E50" s="71">
        <f>'Enterprise Budget'!$P$31</f>
        <v>2323.9141599999998</v>
      </c>
      <c r="F50" s="65">
        <f t="shared" si="16"/>
        <v>804.08583999999973</v>
      </c>
      <c r="G50" s="72">
        <f t="shared" si="17"/>
        <v>0.7628952120475252</v>
      </c>
      <c r="H50" s="69">
        <f t="shared" si="13"/>
        <v>613.43323741121219</v>
      </c>
      <c r="I50" s="6"/>
      <c r="J50" s="64">
        <v>4</v>
      </c>
      <c r="K50" s="435"/>
      <c r="L50" s="66">
        <f t="shared" si="18"/>
        <v>2940.3199999999993</v>
      </c>
      <c r="M50" s="73">
        <f t="shared" si="19"/>
        <v>2556.3055760000002</v>
      </c>
      <c r="N50" s="65">
        <f t="shared" si="14"/>
        <v>384.01442399999905</v>
      </c>
      <c r="O50" s="72">
        <f t="shared" si="20"/>
        <v>0.7628952120475252</v>
      </c>
      <c r="P50" s="69">
        <f t="shared" si="15"/>
        <v>292.96276542678754</v>
      </c>
    </row>
    <row r="51" spans="2:16" ht="15.75" x14ac:dyDescent="0.25">
      <c r="B51" s="64">
        <v>5</v>
      </c>
      <c r="C51" s="70"/>
      <c r="D51" s="71">
        <f>'Enterprise Budget'!$P$43</f>
        <v>3127.9999999999995</v>
      </c>
      <c r="E51" s="71">
        <f>'Enterprise Budget'!$P$31</f>
        <v>2323.9141599999998</v>
      </c>
      <c r="F51" s="65">
        <f t="shared" si="16"/>
        <v>804.08583999999973</v>
      </c>
      <c r="G51" s="72">
        <f t="shared" si="17"/>
        <v>0.71298617948366838</v>
      </c>
      <c r="H51" s="69">
        <f t="shared" si="13"/>
        <v>573.3020910385161</v>
      </c>
      <c r="I51" s="6"/>
      <c r="J51" s="64">
        <v>5</v>
      </c>
      <c r="K51" s="435"/>
      <c r="L51" s="66">
        <f t="shared" si="18"/>
        <v>2940.3199999999993</v>
      </c>
      <c r="M51" s="73">
        <f t="shared" si="19"/>
        <v>2556.3055760000002</v>
      </c>
      <c r="N51" s="65">
        <f t="shared" si="14"/>
        <v>384.01442399999905</v>
      </c>
      <c r="O51" s="72">
        <f t="shared" si="20"/>
        <v>0.71298617948366838</v>
      </c>
      <c r="P51" s="69">
        <f t="shared" si="15"/>
        <v>273.79697703438086</v>
      </c>
    </row>
    <row r="52" spans="2:16" ht="15.75" x14ac:dyDescent="0.25">
      <c r="B52" s="64">
        <v>6</v>
      </c>
      <c r="C52" s="70"/>
      <c r="D52" s="71">
        <f>'Enterprise Budget'!$P$43</f>
        <v>3127.9999999999995</v>
      </c>
      <c r="E52" s="71">
        <f>'Enterprise Budget'!$P$31</f>
        <v>2323.9141599999998</v>
      </c>
      <c r="F52" s="65">
        <f t="shared" si="16"/>
        <v>804.08583999999973</v>
      </c>
      <c r="G52" s="72">
        <f t="shared" si="17"/>
        <v>0.66634222381651254</v>
      </c>
      <c r="H52" s="69">
        <f t="shared" si="13"/>
        <v>535.79634676496835</v>
      </c>
      <c r="I52" s="6"/>
      <c r="J52" s="64">
        <v>6</v>
      </c>
      <c r="K52" s="435"/>
      <c r="L52" s="66">
        <f t="shared" si="18"/>
        <v>2940.3199999999993</v>
      </c>
      <c r="M52" s="73">
        <f t="shared" si="19"/>
        <v>2556.3055760000002</v>
      </c>
      <c r="N52" s="65">
        <f t="shared" si="14"/>
        <v>384.01442399999905</v>
      </c>
      <c r="O52" s="72">
        <f t="shared" si="20"/>
        <v>0.66634222381651254</v>
      </c>
      <c r="P52" s="69">
        <f t="shared" si="15"/>
        <v>255.88502526577651</v>
      </c>
    </row>
    <row r="53" spans="2:16" ht="15.75" x14ac:dyDescent="0.25">
      <c r="B53" s="64">
        <v>7</v>
      </c>
      <c r="C53" s="70"/>
      <c r="D53" s="71">
        <f>'Enterprise Budget'!$P$43</f>
        <v>3127.9999999999995</v>
      </c>
      <c r="E53" s="71">
        <f>'Enterprise Budget'!$P$31</f>
        <v>2323.9141599999998</v>
      </c>
      <c r="F53" s="65">
        <f t="shared" si="16"/>
        <v>804.08583999999973</v>
      </c>
      <c r="G53" s="72">
        <f t="shared" si="17"/>
        <v>0.62274974188459109</v>
      </c>
      <c r="H53" s="69">
        <f t="shared" si="13"/>
        <v>500.74424931305447</v>
      </c>
      <c r="I53" s="6"/>
      <c r="J53" s="64">
        <v>7</v>
      </c>
      <c r="K53" s="435"/>
      <c r="L53" s="66">
        <f t="shared" si="18"/>
        <v>2940.3199999999993</v>
      </c>
      <c r="M53" s="73">
        <f t="shared" si="19"/>
        <v>2556.3055760000002</v>
      </c>
      <c r="N53" s="65">
        <f t="shared" si="14"/>
        <v>384.01442399999905</v>
      </c>
      <c r="O53" s="72">
        <f t="shared" si="20"/>
        <v>0.62274974188459109</v>
      </c>
      <c r="P53" s="69">
        <f t="shared" si="15"/>
        <v>239.14488342595934</v>
      </c>
    </row>
    <row r="54" spans="2:16" ht="15.75" x14ac:dyDescent="0.25">
      <c r="B54" s="64">
        <v>8</v>
      </c>
      <c r="C54" s="70"/>
      <c r="D54" s="71">
        <f>'Enterprise Budget'!$P$43</f>
        <v>3127.9999999999995</v>
      </c>
      <c r="E54" s="71">
        <f>'Enterprise Budget'!$P$31</f>
        <v>2323.9141599999998</v>
      </c>
      <c r="F54" s="65">
        <f t="shared" si="16"/>
        <v>804.08583999999973</v>
      </c>
      <c r="G54" s="72">
        <f t="shared" si="17"/>
        <v>0.5820091045650384</v>
      </c>
      <c r="H54" s="69">
        <f t="shared" si="13"/>
        <v>467.98527973182661</v>
      </c>
      <c r="I54" s="6"/>
      <c r="J54" s="64">
        <v>8</v>
      </c>
      <c r="K54" s="435"/>
      <c r="L54" s="66">
        <f t="shared" si="18"/>
        <v>2940.3199999999993</v>
      </c>
      <c r="M54" s="73">
        <f t="shared" si="19"/>
        <v>2556.3055760000002</v>
      </c>
      <c r="N54" s="65">
        <f t="shared" si="14"/>
        <v>384.01442399999905</v>
      </c>
      <c r="O54" s="72">
        <f t="shared" si="20"/>
        <v>0.5820091045650384</v>
      </c>
      <c r="P54" s="69">
        <f t="shared" si="15"/>
        <v>223.49989105229844</v>
      </c>
    </row>
    <row r="55" spans="2:16" ht="15.75" x14ac:dyDescent="0.25">
      <c r="B55" s="64">
        <v>9</v>
      </c>
      <c r="C55" s="70"/>
      <c r="D55" s="71">
        <f>'Enterprise Budget'!$P$43</f>
        <v>3127.9999999999995</v>
      </c>
      <c r="E55" s="71">
        <f>'Enterprise Budget'!$P$31</f>
        <v>2323.9141599999998</v>
      </c>
      <c r="F55" s="65">
        <f t="shared" si="16"/>
        <v>804.08583999999973</v>
      </c>
      <c r="G55" s="72">
        <f t="shared" si="17"/>
        <v>0.54393374258414806</v>
      </c>
      <c r="H55" s="69">
        <f t="shared" si="13"/>
        <v>437.3694203101183</v>
      </c>
      <c r="I55" s="6"/>
      <c r="J55" s="64">
        <v>9</v>
      </c>
      <c r="K55" s="435"/>
      <c r="L55" s="66">
        <f t="shared" si="18"/>
        <v>2940.3199999999993</v>
      </c>
      <c r="M55" s="73">
        <f t="shared" si="19"/>
        <v>2556.3055760000002</v>
      </c>
      <c r="N55" s="65">
        <f t="shared" si="14"/>
        <v>384.01442399999905</v>
      </c>
      <c r="O55" s="72">
        <f t="shared" si="20"/>
        <v>0.54393374258414806</v>
      </c>
      <c r="P55" s="69">
        <f t="shared" si="15"/>
        <v>208.87840285261538</v>
      </c>
    </row>
    <row r="56" spans="2:16" ht="15.75" x14ac:dyDescent="0.25">
      <c r="B56" s="64">
        <v>10</v>
      </c>
      <c r="C56" s="70"/>
      <c r="D56" s="71">
        <f>'Enterprise Budget'!$P$43</f>
        <v>3127.9999999999995</v>
      </c>
      <c r="E56" s="71">
        <f>'Enterprise Budget'!$P$31</f>
        <v>2323.9141599999998</v>
      </c>
      <c r="F56" s="65">
        <f t="shared" si="16"/>
        <v>804.08583999999973</v>
      </c>
      <c r="G56" s="72">
        <f t="shared" si="17"/>
        <v>0.5083492921347178</v>
      </c>
      <c r="H56" s="69">
        <f t="shared" si="13"/>
        <v>408.75646757954985</v>
      </c>
      <c r="I56" s="6"/>
      <c r="J56" s="64">
        <v>10</v>
      </c>
      <c r="K56" s="435"/>
      <c r="L56" s="66">
        <f t="shared" si="18"/>
        <v>2940.3199999999993</v>
      </c>
      <c r="M56" s="73">
        <f t="shared" si="19"/>
        <v>2556.3055760000002</v>
      </c>
      <c r="N56" s="65">
        <f t="shared" si="14"/>
        <v>384.01442399999905</v>
      </c>
      <c r="O56" s="72">
        <f t="shared" si="20"/>
        <v>0.5083492921347178</v>
      </c>
      <c r="P56" s="69">
        <f t="shared" si="15"/>
        <v>195.2134606099209</v>
      </c>
    </row>
    <row r="57" spans="2:16" ht="15.75" x14ac:dyDescent="0.25">
      <c r="B57" s="64">
        <v>11</v>
      </c>
      <c r="C57" s="434"/>
      <c r="D57" s="71">
        <f>'Enterprise Budget'!$P$43</f>
        <v>3127.9999999999995</v>
      </c>
      <c r="E57" s="71">
        <f>'Enterprise Budget'!$P$31</f>
        <v>2323.9141599999998</v>
      </c>
      <c r="F57" s="65">
        <f t="shared" ref="F57:F64" si="21">D57-E57</f>
        <v>804.08583999999973</v>
      </c>
      <c r="G57" s="72">
        <f t="shared" ref="G57:G64" si="22">1/(1+$G$15)^B57</f>
        <v>0.47509279638758667</v>
      </c>
      <c r="H57" s="69">
        <f t="shared" ref="H57:H64" si="23">F57*G57</f>
        <v>382.01539026126147</v>
      </c>
      <c r="I57" s="6"/>
      <c r="J57" s="64">
        <v>11</v>
      </c>
      <c r="K57" s="436"/>
      <c r="L57" s="66">
        <f t="shared" ref="L57:L64" si="24">D57*$P$11</f>
        <v>2940.3199999999993</v>
      </c>
      <c r="M57" s="73">
        <f t="shared" ref="M57:M64" si="25">E57*$P$12</f>
        <v>2556.3055760000002</v>
      </c>
      <c r="N57" s="65">
        <f t="shared" ref="N57:N64" si="26">-K57+L57-M57</f>
        <v>384.01442399999905</v>
      </c>
      <c r="O57" s="72">
        <f t="shared" ref="O57:O64" si="27">1/(1+$G$15)^J57</f>
        <v>0.47509279638758667</v>
      </c>
      <c r="P57" s="69">
        <f t="shared" ref="P57:P64" si="28">N57*O57</f>
        <v>182.44248655132793</v>
      </c>
    </row>
    <row r="58" spans="2:16" ht="15.75" x14ac:dyDescent="0.25">
      <c r="B58" s="64">
        <v>12</v>
      </c>
      <c r="C58" s="434"/>
      <c r="D58" s="71">
        <f>'Enterprise Budget'!$P$43</f>
        <v>3127.9999999999995</v>
      </c>
      <c r="E58" s="71">
        <f>'Enterprise Budget'!$P$31</f>
        <v>2323.9141599999998</v>
      </c>
      <c r="F58" s="65">
        <f t="shared" si="21"/>
        <v>804.08583999999973</v>
      </c>
      <c r="G58" s="72">
        <f t="shared" si="22"/>
        <v>0.44401195924073528</v>
      </c>
      <c r="H58" s="69">
        <f t="shared" si="23"/>
        <v>357.02372921613227</v>
      </c>
      <c r="I58" s="6"/>
      <c r="J58" s="64">
        <v>12</v>
      </c>
      <c r="K58" s="436"/>
      <c r="L58" s="66">
        <f t="shared" si="24"/>
        <v>2940.3199999999993</v>
      </c>
      <c r="M58" s="73">
        <f t="shared" si="25"/>
        <v>2556.3055760000002</v>
      </c>
      <c r="N58" s="65">
        <f t="shared" si="26"/>
        <v>384.01442399999905</v>
      </c>
      <c r="O58" s="72">
        <f t="shared" si="27"/>
        <v>0.44401195924073528</v>
      </c>
      <c r="P58" s="69">
        <f t="shared" si="28"/>
        <v>170.506996776942</v>
      </c>
    </row>
    <row r="59" spans="2:16" ht="15.75" x14ac:dyDescent="0.25">
      <c r="B59" s="64">
        <v>13</v>
      </c>
      <c r="C59" s="434"/>
      <c r="D59" s="71">
        <f>'Enterprise Budget'!$P$43</f>
        <v>3127.9999999999995</v>
      </c>
      <c r="E59" s="71">
        <f>'Enterprise Budget'!$P$31</f>
        <v>2323.9141599999998</v>
      </c>
      <c r="F59" s="65">
        <f t="shared" si="21"/>
        <v>804.08583999999973</v>
      </c>
      <c r="G59" s="72">
        <f t="shared" si="22"/>
        <v>0.41496444788853759</v>
      </c>
      <c r="H59" s="69">
        <f t="shared" si="23"/>
        <v>333.66703665059089</v>
      </c>
      <c r="I59" s="6"/>
      <c r="J59" s="64">
        <v>13</v>
      </c>
      <c r="K59" s="436"/>
      <c r="L59" s="66">
        <f t="shared" si="24"/>
        <v>2940.3199999999993</v>
      </c>
      <c r="M59" s="73">
        <f t="shared" si="25"/>
        <v>2556.3055760000002</v>
      </c>
      <c r="N59" s="65">
        <f t="shared" si="26"/>
        <v>384.01442399999905</v>
      </c>
      <c r="O59" s="72">
        <f t="shared" si="27"/>
        <v>0.41496444788853759</v>
      </c>
      <c r="P59" s="69">
        <f t="shared" si="28"/>
        <v>159.35233343639439</v>
      </c>
    </row>
    <row r="60" spans="2:16" ht="15.75" x14ac:dyDescent="0.25">
      <c r="B60" s="64">
        <v>14</v>
      </c>
      <c r="C60" s="434"/>
      <c r="D60" s="71">
        <f>'Enterprise Budget'!$P$43</f>
        <v>3127.9999999999995</v>
      </c>
      <c r="E60" s="71">
        <f>'Enterprise Budget'!$P$31</f>
        <v>2323.9141599999998</v>
      </c>
      <c r="F60" s="65">
        <f t="shared" si="21"/>
        <v>804.08583999999973</v>
      </c>
      <c r="G60" s="72">
        <f t="shared" si="22"/>
        <v>0.3878172410173249</v>
      </c>
      <c r="H60" s="69">
        <f t="shared" si="23"/>
        <v>311.83835200989802</v>
      </c>
      <c r="I60" s="6"/>
      <c r="J60" s="64">
        <v>14</v>
      </c>
      <c r="K60" s="436"/>
      <c r="L60" s="66">
        <f t="shared" si="24"/>
        <v>2940.3199999999993</v>
      </c>
      <c r="M60" s="73">
        <f t="shared" si="25"/>
        <v>2556.3055760000002</v>
      </c>
      <c r="N60" s="65">
        <f t="shared" si="26"/>
        <v>384.01442399999905</v>
      </c>
      <c r="O60" s="72">
        <f t="shared" si="27"/>
        <v>0.3878172410173249</v>
      </c>
      <c r="P60" s="69">
        <f t="shared" si="28"/>
        <v>148.92741442653681</v>
      </c>
    </row>
    <row r="61" spans="2:16" ht="15.75" x14ac:dyDescent="0.25">
      <c r="B61" s="64">
        <v>15</v>
      </c>
      <c r="C61" s="434"/>
      <c r="D61" s="71">
        <f>'Enterprise Budget'!$P$43</f>
        <v>3127.9999999999995</v>
      </c>
      <c r="E61" s="71">
        <f>'Enterprise Budget'!$P$31</f>
        <v>2323.9141599999998</v>
      </c>
      <c r="F61" s="65">
        <f t="shared" si="21"/>
        <v>804.08583999999973</v>
      </c>
      <c r="G61" s="72">
        <f t="shared" si="22"/>
        <v>0.36244601964235967</v>
      </c>
      <c r="H61" s="69">
        <f t="shared" si="23"/>
        <v>291.4377121587832</v>
      </c>
      <c r="I61" s="6"/>
      <c r="J61" s="64">
        <v>15</v>
      </c>
      <c r="K61" s="436"/>
      <c r="L61" s="66">
        <f t="shared" si="24"/>
        <v>2940.3199999999993</v>
      </c>
      <c r="M61" s="73">
        <f t="shared" si="25"/>
        <v>2556.3055760000002</v>
      </c>
      <c r="N61" s="65">
        <f t="shared" si="26"/>
        <v>384.01442399999905</v>
      </c>
      <c r="O61" s="72">
        <f t="shared" si="27"/>
        <v>0.36244601964235967</v>
      </c>
      <c r="P61" s="69">
        <f t="shared" si="28"/>
        <v>139.18449946405309</v>
      </c>
    </row>
    <row r="62" spans="2:16" ht="15.75" x14ac:dyDescent="0.25">
      <c r="B62" s="64">
        <v>16</v>
      </c>
      <c r="C62" s="434"/>
      <c r="D62" s="71">
        <f>'Enterprise Budget'!$P$43</f>
        <v>3127.9999999999995</v>
      </c>
      <c r="E62" s="71">
        <f>'Enterprise Budget'!$P$31</f>
        <v>2323.9141599999998</v>
      </c>
      <c r="F62" s="65">
        <f t="shared" si="21"/>
        <v>804.08583999999973</v>
      </c>
      <c r="G62" s="72">
        <f t="shared" si="22"/>
        <v>0.33873459779659787</v>
      </c>
      <c r="H62" s="69">
        <f t="shared" si="23"/>
        <v>272.37169360633948</v>
      </c>
      <c r="I62" s="6"/>
      <c r="J62" s="64">
        <v>16</v>
      </c>
      <c r="K62" s="436"/>
      <c r="L62" s="66">
        <f t="shared" si="24"/>
        <v>2940.3199999999993</v>
      </c>
      <c r="M62" s="73">
        <f t="shared" si="25"/>
        <v>2556.3055760000002</v>
      </c>
      <c r="N62" s="65">
        <f t="shared" si="26"/>
        <v>384.01442399999905</v>
      </c>
      <c r="O62" s="72">
        <f t="shared" si="27"/>
        <v>0.33873459779659787</v>
      </c>
      <c r="P62" s="69">
        <f t="shared" si="28"/>
        <v>130.07897146173187</v>
      </c>
    </row>
    <row r="63" spans="2:16" ht="15.75" x14ac:dyDescent="0.25">
      <c r="B63" s="64">
        <v>17</v>
      </c>
      <c r="C63" s="434"/>
      <c r="D63" s="71">
        <f>'Enterprise Budget'!$P$43</f>
        <v>3127.9999999999995</v>
      </c>
      <c r="E63" s="71">
        <f>'Enterprise Budget'!$P$31</f>
        <v>2323.9141599999998</v>
      </c>
      <c r="F63" s="65">
        <f t="shared" si="21"/>
        <v>804.08583999999973</v>
      </c>
      <c r="G63" s="72">
        <f t="shared" si="22"/>
        <v>0.31657439046411018</v>
      </c>
      <c r="H63" s="69">
        <f t="shared" si="23"/>
        <v>254.55298467882193</v>
      </c>
      <c r="I63" s="6"/>
      <c r="J63" s="64">
        <v>17</v>
      </c>
      <c r="K63" s="436"/>
      <c r="L63" s="66">
        <f t="shared" si="24"/>
        <v>2940.3199999999993</v>
      </c>
      <c r="M63" s="73">
        <f t="shared" si="25"/>
        <v>2556.3055760000002</v>
      </c>
      <c r="N63" s="65">
        <f t="shared" si="26"/>
        <v>384.01442399999905</v>
      </c>
      <c r="O63" s="72">
        <f t="shared" si="27"/>
        <v>0.31657439046411018</v>
      </c>
      <c r="P63" s="69">
        <f t="shared" si="28"/>
        <v>121.56913220722606</v>
      </c>
    </row>
    <row r="64" spans="2:16" ht="15.75" x14ac:dyDescent="0.25">
      <c r="B64" s="64">
        <v>18</v>
      </c>
      <c r="C64" s="434"/>
      <c r="D64" s="71">
        <f>'Enterprise Budget'!$P$43</f>
        <v>3127.9999999999995</v>
      </c>
      <c r="E64" s="71">
        <f>'Enterprise Budget'!$P$31</f>
        <v>2323.9141599999998</v>
      </c>
      <c r="F64" s="65">
        <f t="shared" si="21"/>
        <v>804.08583999999973</v>
      </c>
      <c r="G64" s="72">
        <f t="shared" si="22"/>
        <v>0.29586391632159825</v>
      </c>
      <c r="H64" s="69">
        <f t="shared" si="23"/>
        <v>237.89998568114197</v>
      </c>
      <c r="I64" s="6"/>
      <c r="J64" s="64">
        <v>18</v>
      </c>
      <c r="K64" s="436"/>
      <c r="L64" s="66">
        <f t="shared" si="24"/>
        <v>2940.3199999999993</v>
      </c>
      <c r="M64" s="73">
        <f t="shared" si="25"/>
        <v>2556.3055760000002</v>
      </c>
      <c r="N64" s="65">
        <f t="shared" si="26"/>
        <v>384.01442399999905</v>
      </c>
      <c r="O64" s="72">
        <f t="shared" si="27"/>
        <v>0.29586391632159825</v>
      </c>
      <c r="P64" s="69">
        <f t="shared" si="28"/>
        <v>113.61601140862247</v>
      </c>
    </row>
    <row r="65" spans="1:17" ht="16.5" thickBot="1" x14ac:dyDescent="0.3">
      <c r="B65" s="468" t="s">
        <v>15</v>
      </c>
      <c r="C65" s="469"/>
      <c r="D65" s="469"/>
      <c r="E65" s="469"/>
      <c r="F65" s="469"/>
      <c r="G65" s="469"/>
      <c r="H65" s="74">
        <f>SUM(H46:H64)</f>
        <v>4034.0941474122528</v>
      </c>
      <c r="I65" s="6"/>
      <c r="J65" s="461" t="s">
        <v>15</v>
      </c>
      <c r="K65" s="462"/>
      <c r="L65" s="462"/>
      <c r="M65" s="462"/>
      <c r="N65" s="462"/>
      <c r="O65" s="463"/>
      <c r="P65" s="74">
        <f>SUM(P46:P64)</f>
        <v>-191.44073440890696</v>
      </c>
    </row>
    <row r="66" spans="1:17" x14ac:dyDescent="0.25">
      <c r="A66" s="6"/>
      <c r="B66" s="6"/>
      <c r="C66" s="6"/>
      <c r="D66" s="6"/>
      <c r="E66" s="6"/>
      <c r="F66" s="6"/>
      <c r="G66" s="6"/>
      <c r="H66" s="6"/>
      <c r="I66" s="6"/>
      <c r="J66" s="6"/>
      <c r="K66" s="6"/>
      <c r="L66" s="6"/>
      <c r="M66" s="6"/>
      <c r="N66" s="6"/>
      <c r="O66" s="6"/>
      <c r="P66" s="6"/>
      <c r="Q66" s="6"/>
    </row>
    <row r="67" spans="1:17" s="76" customFormat="1" ht="15.75" x14ac:dyDescent="0.25">
      <c r="B67" s="28" t="s">
        <v>85</v>
      </c>
      <c r="C67" s="88" t="s">
        <v>45</v>
      </c>
      <c r="D67" s="75"/>
      <c r="E67" s="75"/>
      <c r="F67" s="75"/>
      <c r="G67" s="75"/>
      <c r="H67" s="75"/>
      <c r="I67" s="75"/>
      <c r="J67" s="75"/>
      <c r="K67" s="75"/>
      <c r="L67" s="75"/>
      <c r="M67" s="75"/>
      <c r="N67" s="75"/>
      <c r="O67" s="75"/>
      <c r="P67" s="75"/>
      <c r="Q67" s="75"/>
    </row>
    <row r="68" spans="1:17" ht="15.75" x14ac:dyDescent="0.25">
      <c r="B68" s="30" t="s">
        <v>84</v>
      </c>
      <c r="C68" s="90" t="str">
        <f>Input!I11</f>
        <v>Irrigated</v>
      </c>
      <c r="D68" s="6"/>
      <c r="E68" s="6"/>
      <c r="F68" s="6"/>
      <c r="G68" s="6"/>
      <c r="H68" s="6"/>
      <c r="I68" s="6"/>
      <c r="J68" s="6"/>
      <c r="K68" s="6"/>
      <c r="L68" s="6"/>
      <c r="M68" s="6"/>
      <c r="N68" s="6"/>
      <c r="O68" s="6"/>
      <c r="P68" s="6"/>
      <c r="Q68" s="6"/>
    </row>
    <row r="69" spans="1:17" ht="16.5" thickBot="1" x14ac:dyDescent="0.3">
      <c r="B69" s="83" t="s">
        <v>86</v>
      </c>
      <c r="C69" s="89" t="s">
        <v>39</v>
      </c>
      <c r="D69" s="6"/>
      <c r="E69" s="6"/>
      <c r="F69" s="6"/>
      <c r="G69" s="6"/>
      <c r="H69" s="6"/>
      <c r="I69" s="6"/>
      <c r="J69" s="6"/>
      <c r="K69" s="6"/>
      <c r="L69" s="6"/>
      <c r="M69" s="6"/>
      <c r="N69" s="6"/>
      <c r="O69" s="6"/>
      <c r="P69" s="6"/>
      <c r="Q69" s="6"/>
    </row>
    <row r="70" spans="1:17" ht="19.5" thickBot="1" x14ac:dyDescent="0.35">
      <c r="B70" s="458" t="s">
        <v>16</v>
      </c>
      <c r="C70" s="459"/>
      <c r="D70" s="459"/>
      <c r="E70" s="459"/>
      <c r="F70" s="459"/>
      <c r="G70" s="459"/>
      <c r="H70" s="460"/>
      <c r="I70" s="6"/>
      <c r="J70" s="458" t="s">
        <v>17</v>
      </c>
      <c r="K70" s="459"/>
      <c r="L70" s="459"/>
      <c r="M70" s="459"/>
      <c r="N70" s="459"/>
      <c r="O70" s="459"/>
      <c r="P70" s="460"/>
    </row>
    <row r="71" spans="1:17" ht="15.75" x14ac:dyDescent="0.25">
      <c r="B71" s="49"/>
      <c r="C71" s="6"/>
      <c r="D71" s="6"/>
      <c r="E71" s="6"/>
      <c r="F71" s="6"/>
      <c r="G71" s="6"/>
      <c r="H71" s="50"/>
      <c r="I71" s="6"/>
      <c r="J71" s="49"/>
      <c r="K71" s="6"/>
      <c r="L71" s="6"/>
      <c r="M71" s="464" t="s">
        <v>18</v>
      </c>
      <c r="N71" s="464"/>
      <c r="O71" s="464"/>
      <c r="P71" s="77">
        <f>P11</f>
        <v>0.94</v>
      </c>
    </row>
    <row r="72" spans="1:17" ht="18.75" x14ac:dyDescent="0.3">
      <c r="B72" s="49"/>
      <c r="C72" s="6"/>
      <c r="D72" s="6"/>
      <c r="E72" s="6"/>
      <c r="F72" s="6"/>
      <c r="G72" s="6"/>
      <c r="H72" s="50"/>
      <c r="I72" s="6"/>
      <c r="J72" s="52"/>
      <c r="K72" s="6"/>
      <c r="L72" s="6"/>
      <c r="M72" s="465" t="s">
        <v>19</v>
      </c>
      <c r="N72" s="466"/>
      <c r="O72" s="467"/>
      <c r="P72" s="78">
        <f>P12</f>
        <v>1.1000000000000001</v>
      </c>
    </row>
    <row r="73" spans="1:17" ht="15.75" x14ac:dyDescent="0.25">
      <c r="B73" s="54"/>
      <c r="C73" s="55"/>
      <c r="D73" s="55"/>
      <c r="E73" s="55"/>
      <c r="F73" s="55"/>
      <c r="G73" s="55" t="s">
        <v>3</v>
      </c>
      <c r="H73" s="56"/>
      <c r="I73" s="6"/>
      <c r="J73" s="54"/>
      <c r="K73" s="55"/>
      <c r="L73" s="55"/>
      <c r="M73" s="55"/>
      <c r="N73" s="55"/>
      <c r="O73" s="55" t="s">
        <v>3</v>
      </c>
      <c r="P73" s="56"/>
    </row>
    <row r="74" spans="1:17" ht="15.75" x14ac:dyDescent="0.25">
      <c r="B74" s="57"/>
      <c r="C74" s="58" t="s">
        <v>4</v>
      </c>
      <c r="D74" s="58" t="s">
        <v>5</v>
      </c>
      <c r="E74" s="58" t="s">
        <v>6</v>
      </c>
      <c r="F74" s="58" t="s">
        <v>7</v>
      </c>
      <c r="G74" s="58" t="s">
        <v>8</v>
      </c>
      <c r="H74" s="59" t="s">
        <v>9</v>
      </c>
      <c r="I74" s="6"/>
      <c r="J74" s="57"/>
      <c r="K74" s="58" t="s">
        <v>4</v>
      </c>
      <c r="L74" s="58" t="s">
        <v>5</v>
      </c>
      <c r="M74" s="58" t="s">
        <v>6</v>
      </c>
      <c r="N74" s="58" t="s">
        <v>7</v>
      </c>
      <c r="O74" s="58" t="s">
        <v>8</v>
      </c>
      <c r="P74" s="59" t="s">
        <v>9</v>
      </c>
    </row>
    <row r="75" spans="1:17" ht="15.75" x14ac:dyDescent="0.25">
      <c r="B75" s="60" t="s">
        <v>10</v>
      </c>
      <c r="C75" s="61" t="s">
        <v>11</v>
      </c>
      <c r="D75" s="61" t="s">
        <v>12</v>
      </c>
      <c r="E75" s="61" t="s">
        <v>11</v>
      </c>
      <c r="F75" s="61" t="s">
        <v>13</v>
      </c>
      <c r="G75" s="79">
        <f>G15</f>
        <v>7.0000000000000007E-2</v>
      </c>
      <c r="H75" s="62" t="s">
        <v>14</v>
      </c>
      <c r="I75" s="6"/>
      <c r="J75" s="60" t="s">
        <v>10</v>
      </c>
      <c r="K75" s="61" t="s">
        <v>11</v>
      </c>
      <c r="L75" s="61" t="s">
        <v>12</v>
      </c>
      <c r="M75" s="61" t="s">
        <v>11</v>
      </c>
      <c r="N75" s="61" t="s">
        <v>13</v>
      </c>
      <c r="O75" s="63">
        <f>G75</f>
        <v>7.0000000000000007E-2</v>
      </c>
      <c r="P75" s="62" t="s">
        <v>14</v>
      </c>
    </row>
    <row r="76" spans="1:17" ht="15.75" x14ac:dyDescent="0.25">
      <c r="B76" s="64">
        <v>0</v>
      </c>
      <c r="C76" s="65">
        <f>'Start-Up Costs'!Q25</f>
        <v>3934.2752</v>
      </c>
      <c r="D76" s="66">
        <v>0</v>
      </c>
      <c r="E76" s="67">
        <v>0</v>
      </c>
      <c r="F76" s="65">
        <f>-C76+D76-E76</f>
        <v>-3934.2752</v>
      </c>
      <c r="G76" s="68">
        <v>1</v>
      </c>
      <c r="H76" s="69">
        <f t="shared" ref="H76:H86" si="29">F76*G76</f>
        <v>-3934.2752</v>
      </c>
      <c r="I76" s="6"/>
      <c r="J76" s="64">
        <v>0</v>
      </c>
      <c r="K76" s="65">
        <f>C76</f>
        <v>3934.2752</v>
      </c>
      <c r="L76" s="66">
        <f>D76</f>
        <v>0</v>
      </c>
      <c r="M76" s="67">
        <f>-E76</f>
        <v>0</v>
      </c>
      <c r="N76" s="65">
        <f t="shared" ref="N76:N86" si="30">-K76+L76-M76</f>
        <v>-3934.2752</v>
      </c>
      <c r="O76" s="68">
        <v>1</v>
      </c>
      <c r="P76" s="69">
        <f t="shared" ref="P76:P86" si="31">N76*O76</f>
        <v>-3934.2752</v>
      </c>
    </row>
    <row r="77" spans="1:17" ht="15.75" x14ac:dyDescent="0.25">
      <c r="B77" s="64">
        <v>1</v>
      </c>
      <c r="C77" s="70"/>
      <c r="D77" s="71">
        <f>'Enterprise Budget'!$S$43</f>
        <v>817.77777777777783</v>
      </c>
      <c r="E77" s="71">
        <f>'Enterprise Budget'!$S$31</f>
        <v>916.91415999999992</v>
      </c>
      <c r="F77" s="65">
        <f t="shared" ref="F77:F86" si="32">D77-E77</f>
        <v>-99.136382222222096</v>
      </c>
      <c r="G77" s="72">
        <f t="shared" ref="G77:G86" si="33">1/(1+$G$15)^B77</f>
        <v>0.93457943925233644</v>
      </c>
      <c r="H77" s="69">
        <f t="shared" si="29"/>
        <v>-92.650824506749615</v>
      </c>
      <c r="I77" s="6"/>
      <c r="J77" s="64">
        <v>1</v>
      </c>
      <c r="K77" s="435"/>
      <c r="L77" s="66">
        <f t="shared" ref="L77:L86" si="34">D77*$P$11</f>
        <v>768.71111111111111</v>
      </c>
      <c r="M77" s="73">
        <f t="shared" ref="M77:M86" si="35">E77*$P$12</f>
        <v>1008.605576</v>
      </c>
      <c r="N77" s="65">
        <f t="shared" si="30"/>
        <v>-239.89446488888893</v>
      </c>
      <c r="O77" s="72">
        <f t="shared" ref="O77:O86" si="36">1/(1+$G$15)^J77</f>
        <v>0.93457943925233644</v>
      </c>
      <c r="P77" s="69">
        <f t="shared" si="31"/>
        <v>-224.20043447559712</v>
      </c>
    </row>
    <row r="78" spans="1:17" ht="15.75" x14ac:dyDescent="0.25">
      <c r="B78" s="64">
        <v>2</v>
      </c>
      <c r="C78" s="70"/>
      <c r="D78" s="71">
        <f>'Enterprise Budget'!$S$43</f>
        <v>817.77777777777783</v>
      </c>
      <c r="E78" s="71">
        <f>'Enterprise Budget'!$S$31</f>
        <v>916.91415999999992</v>
      </c>
      <c r="F78" s="65">
        <f t="shared" si="32"/>
        <v>-99.136382222222096</v>
      </c>
      <c r="G78" s="72">
        <f t="shared" si="33"/>
        <v>0.87343872827321156</v>
      </c>
      <c r="H78" s="69">
        <f t="shared" si="29"/>
        <v>-86.589555613784682</v>
      </c>
      <c r="I78" s="6"/>
      <c r="J78" s="64">
        <v>2</v>
      </c>
      <c r="K78" s="435"/>
      <c r="L78" s="66">
        <f t="shared" si="34"/>
        <v>768.71111111111111</v>
      </c>
      <c r="M78" s="73">
        <f t="shared" si="35"/>
        <v>1008.605576</v>
      </c>
      <c r="N78" s="65">
        <f t="shared" si="30"/>
        <v>-239.89446488888893</v>
      </c>
      <c r="O78" s="72">
        <f t="shared" si="36"/>
        <v>0.87343872827321156</v>
      </c>
      <c r="P78" s="69">
        <f t="shared" si="31"/>
        <v>-209.53311633233375</v>
      </c>
    </row>
    <row r="79" spans="1:17" ht="15.75" x14ac:dyDescent="0.25">
      <c r="B79" s="64">
        <v>3</v>
      </c>
      <c r="C79" s="70"/>
      <c r="D79" s="71">
        <f>'Enterprise Budget'!$S$43</f>
        <v>817.77777777777783</v>
      </c>
      <c r="E79" s="71">
        <f>'Enterprise Budget'!$S$31</f>
        <v>916.91415999999992</v>
      </c>
      <c r="F79" s="65">
        <f t="shared" si="32"/>
        <v>-99.136382222222096</v>
      </c>
      <c r="G79" s="72">
        <f t="shared" si="33"/>
        <v>0.81629787689085187</v>
      </c>
      <c r="H79" s="69">
        <f t="shared" si="29"/>
        <v>-80.924818330639894</v>
      </c>
      <c r="I79" s="6"/>
      <c r="J79" s="64">
        <v>3</v>
      </c>
      <c r="K79" s="435"/>
      <c r="L79" s="66">
        <f t="shared" si="34"/>
        <v>768.71111111111111</v>
      </c>
      <c r="M79" s="73">
        <f t="shared" si="35"/>
        <v>1008.605576</v>
      </c>
      <c r="N79" s="65">
        <f t="shared" si="30"/>
        <v>-239.89446488888893</v>
      </c>
      <c r="O79" s="72">
        <f t="shared" si="36"/>
        <v>0.81629787689085187</v>
      </c>
      <c r="P79" s="69">
        <f t="shared" si="31"/>
        <v>-195.82534236666706</v>
      </c>
    </row>
    <row r="80" spans="1:17" ht="15.75" x14ac:dyDescent="0.25">
      <c r="B80" s="64">
        <v>4</v>
      </c>
      <c r="C80" s="70"/>
      <c r="D80" s="71">
        <f>'Enterprise Budget'!$S$43</f>
        <v>817.77777777777783</v>
      </c>
      <c r="E80" s="71">
        <f>'Enterprise Budget'!$S$31</f>
        <v>916.91415999999992</v>
      </c>
      <c r="F80" s="65">
        <f t="shared" si="32"/>
        <v>-99.136382222222096</v>
      </c>
      <c r="G80" s="72">
        <f t="shared" si="33"/>
        <v>0.7628952120475252</v>
      </c>
      <c r="H80" s="69">
        <f t="shared" si="29"/>
        <v>-75.630671337046635</v>
      </c>
      <c r="I80" s="6"/>
      <c r="J80" s="64">
        <v>4</v>
      </c>
      <c r="K80" s="435"/>
      <c r="L80" s="66">
        <f t="shared" si="34"/>
        <v>768.71111111111111</v>
      </c>
      <c r="M80" s="73">
        <f t="shared" si="35"/>
        <v>1008.605576</v>
      </c>
      <c r="N80" s="65">
        <f t="shared" si="30"/>
        <v>-239.89446488888893</v>
      </c>
      <c r="O80" s="72">
        <f t="shared" si="36"/>
        <v>0.7628952120475252</v>
      </c>
      <c r="P80" s="69">
        <f t="shared" si="31"/>
        <v>-183.01433866043652</v>
      </c>
    </row>
    <row r="81" spans="1:17" ht="15.75" x14ac:dyDescent="0.25">
      <c r="B81" s="64">
        <v>5</v>
      </c>
      <c r="C81" s="70"/>
      <c r="D81" s="71">
        <f>'Enterprise Budget'!$S$43</f>
        <v>817.77777777777783</v>
      </c>
      <c r="E81" s="71">
        <f>'Enterprise Budget'!$S$31</f>
        <v>916.91415999999992</v>
      </c>
      <c r="F81" s="65">
        <f t="shared" si="32"/>
        <v>-99.136382222222096</v>
      </c>
      <c r="G81" s="72">
        <f t="shared" si="33"/>
        <v>0.71298617948366838</v>
      </c>
      <c r="H81" s="69">
        <f t="shared" si="29"/>
        <v>-70.682870408454789</v>
      </c>
      <c r="I81" s="6"/>
      <c r="J81" s="64">
        <v>5</v>
      </c>
      <c r="K81" s="435"/>
      <c r="L81" s="66">
        <f t="shared" si="34"/>
        <v>768.71111111111111</v>
      </c>
      <c r="M81" s="73">
        <f t="shared" si="35"/>
        <v>1008.605576</v>
      </c>
      <c r="N81" s="65">
        <f t="shared" si="30"/>
        <v>-239.89446488888893</v>
      </c>
      <c r="O81" s="72">
        <f t="shared" si="36"/>
        <v>0.71298617948366838</v>
      </c>
      <c r="P81" s="69">
        <f t="shared" si="31"/>
        <v>-171.04143800040794</v>
      </c>
    </row>
    <row r="82" spans="1:17" ht="15.75" x14ac:dyDescent="0.25">
      <c r="B82" s="64">
        <v>6</v>
      </c>
      <c r="C82" s="70"/>
      <c r="D82" s="71">
        <f>'Enterprise Budget'!$S$43</f>
        <v>817.77777777777783</v>
      </c>
      <c r="E82" s="71">
        <f>'Enterprise Budget'!$S$31</f>
        <v>916.91415999999992</v>
      </c>
      <c r="F82" s="65">
        <f t="shared" si="32"/>
        <v>-99.136382222222096</v>
      </c>
      <c r="G82" s="72">
        <f t="shared" si="33"/>
        <v>0.66634222381651254</v>
      </c>
      <c r="H82" s="69">
        <f t="shared" si="29"/>
        <v>-66.058757391079254</v>
      </c>
      <c r="I82" s="6"/>
      <c r="J82" s="64">
        <v>6</v>
      </c>
      <c r="K82" s="435"/>
      <c r="L82" s="66">
        <f t="shared" si="34"/>
        <v>768.71111111111111</v>
      </c>
      <c r="M82" s="73">
        <f t="shared" si="35"/>
        <v>1008.605576</v>
      </c>
      <c r="N82" s="65">
        <f t="shared" si="30"/>
        <v>-239.89446488888893</v>
      </c>
      <c r="O82" s="72">
        <f t="shared" si="36"/>
        <v>0.66634222381651254</v>
      </c>
      <c r="P82" s="69">
        <f t="shared" si="31"/>
        <v>-159.85181121533455</v>
      </c>
    </row>
    <row r="83" spans="1:17" ht="15.75" x14ac:dyDescent="0.25">
      <c r="B83" s="64">
        <v>7</v>
      </c>
      <c r="C83" s="70"/>
      <c r="D83" s="71">
        <f>'Enterprise Budget'!$S$43</f>
        <v>817.77777777777783</v>
      </c>
      <c r="E83" s="71">
        <f>'Enterprise Budget'!$S$31</f>
        <v>916.91415999999992</v>
      </c>
      <c r="F83" s="65">
        <f t="shared" si="32"/>
        <v>-99.136382222222096</v>
      </c>
      <c r="G83" s="72">
        <f t="shared" si="33"/>
        <v>0.62274974188459109</v>
      </c>
      <c r="H83" s="69">
        <f t="shared" si="29"/>
        <v>-61.737156440260975</v>
      </c>
      <c r="I83" s="6"/>
      <c r="J83" s="64">
        <v>7</v>
      </c>
      <c r="K83" s="435"/>
      <c r="L83" s="66">
        <f t="shared" si="34"/>
        <v>768.71111111111111</v>
      </c>
      <c r="M83" s="73">
        <f t="shared" si="35"/>
        <v>1008.605576</v>
      </c>
      <c r="N83" s="65">
        <f t="shared" si="30"/>
        <v>-239.89446488888893</v>
      </c>
      <c r="O83" s="72">
        <f t="shared" si="36"/>
        <v>0.62274974188459109</v>
      </c>
      <c r="P83" s="69">
        <f t="shared" si="31"/>
        <v>-149.39421608909768</v>
      </c>
    </row>
    <row r="84" spans="1:17" ht="15.75" x14ac:dyDescent="0.25">
      <c r="B84" s="64">
        <v>8</v>
      </c>
      <c r="C84" s="70"/>
      <c r="D84" s="71">
        <f>'Enterprise Budget'!$S$43</f>
        <v>817.77777777777783</v>
      </c>
      <c r="E84" s="71">
        <f>'Enterprise Budget'!$S$31</f>
        <v>916.91415999999992</v>
      </c>
      <c r="F84" s="65">
        <f t="shared" si="32"/>
        <v>-99.136382222222096</v>
      </c>
      <c r="G84" s="72">
        <f t="shared" si="33"/>
        <v>0.5820091045650384</v>
      </c>
      <c r="H84" s="69">
        <f t="shared" si="29"/>
        <v>-57.698277046972876</v>
      </c>
      <c r="I84" s="6"/>
      <c r="J84" s="64">
        <v>8</v>
      </c>
      <c r="K84" s="435"/>
      <c r="L84" s="66">
        <f t="shared" si="34"/>
        <v>768.71111111111111</v>
      </c>
      <c r="M84" s="73">
        <f t="shared" si="35"/>
        <v>1008.605576</v>
      </c>
      <c r="N84" s="65">
        <f t="shared" si="30"/>
        <v>-239.89446488888893</v>
      </c>
      <c r="O84" s="72">
        <f t="shared" si="36"/>
        <v>0.5820091045650384</v>
      </c>
      <c r="P84" s="69">
        <f t="shared" si="31"/>
        <v>-139.62076270009129</v>
      </c>
    </row>
    <row r="85" spans="1:17" ht="15.75" x14ac:dyDescent="0.25">
      <c r="B85" s="64">
        <v>9</v>
      </c>
      <c r="C85" s="70"/>
      <c r="D85" s="71">
        <f>'Enterprise Budget'!$S$43</f>
        <v>817.77777777777783</v>
      </c>
      <c r="E85" s="71">
        <f>'Enterprise Budget'!$S$31</f>
        <v>916.91415999999992</v>
      </c>
      <c r="F85" s="65">
        <f t="shared" si="32"/>
        <v>-99.136382222222096</v>
      </c>
      <c r="G85" s="72">
        <f t="shared" si="33"/>
        <v>0.54393374258414806</v>
      </c>
      <c r="H85" s="69">
        <f t="shared" si="29"/>
        <v>-53.923623408385865</v>
      </c>
      <c r="I85" s="6"/>
      <c r="J85" s="64">
        <v>9</v>
      </c>
      <c r="K85" s="435"/>
      <c r="L85" s="66">
        <f t="shared" si="34"/>
        <v>768.71111111111111</v>
      </c>
      <c r="M85" s="73">
        <f t="shared" si="35"/>
        <v>1008.605576</v>
      </c>
      <c r="N85" s="65">
        <f t="shared" si="30"/>
        <v>-239.89446488888893</v>
      </c>
      <c r="O85" s="72">
        <f t="shared" si="36"/>
        <v>0.54393374258414806</v>
      </c>
      <c r="P85" s="69">
        <f t="shared" si="31"/>
        <v>-130.48669411223486</v>
      </c>
    </row>
    <row r="86" spans="1:17" ht="15.75" x14ac:dyDescent="0.25">
      <c r="B86" s="64">
        <v>10</v>
      </c>
      <c r="C86" s="70"/>
      <c r="D86" s="71">
        <f>'Enterprise Budget'!$S$43</f>
        <v>817.77777777777783</v>
      </c>
      <c r="E86" s="71">
        <f>'Enterprise Budget'!$S$31</f>
        <v>916.91415999999992</v>
      </c>
      <c r="F86" s="65">
        <f t="shared" si="32"/>
        <v>-99.136382222222096</v>
      </c>
      <c r="G86" s="72">
        <f t="shared" si="33"/>
        <v>0.5083492921347178</v>
      </c>
      <c r="H86" s="69">
        <f t="shared" si="29"/>
        <v>-50.395909727463426</v>
      </c>
      <c r="I86" s="6"/>
      <c r="J86" s="64">
        <v>10</v>
      </c>
      <c r="K86" s="435"/>
      <c r="L86" s="66">
        <f t="shared" si="34"/>
        <v>768.71111111111111</v>
      </c>
      <c r="M86" s="73">
        <f t="shared" si="35"/>
        <v>1008.605576</v>
      </c>
      <c r="N86" s="65">
        <f t="shared" si="30"/>
        <v>-239.89446488888893</v>
      </c>
      <c r="O86" s="72">
        <f t="shared" si="36"/>
        <v>0.5083492921347178</v>
      </c>
      <c r="P86" s="69">
        <f t="shared" si="31"/>
        <v>-121.9501814133036</v>
      </c>
    </row>
    <row r="87" spans="1:17" ht="15.75" x14ac:dyDescent="0.25">
      <c r="B87" s="64">
        <v>11</v>
      </c>
      <c r="C87" s="434"/>
      <c r="D87" s="71">
        <f>'Enterprise Budget'!$S$43</f>
        <v>817.77777777777783</v>
      </c>
      <c r="E87" s="71">
        <f>'Enterprise Budget'!$S$31</f>
        <v>916.91415999999992</v>
      </c>
      <c r="F87" s="65">
        <f t="shared" ref="F87:F94" si="37">D87-E87</f>
        <v>-99.136382222222096</v>
      </c>
      <c r="G87" s="72">
        <f t="shared" ref="G87:G94" si="38">1/(1+$G$15)^B87</f>
        <v>0.47509279638758667</v>
      </c>
      <c r="H87" s="69">
        <f t="shared" ref="H87:H94" si="39">F87*G87</f>
        <v>-47.098981053704129</v>
      </c>
      <c r="I87" s="6"/>
      <c r="J87" s="64">
        <v>11</v>
      </c>
      <c r="K87" s="436"/>
      <c r="L87" s="66">
        <f t="shared" ref="L87:L94" si="40">D87*$P$11</f>
        <v>768.71111111111111</v>
      </c>
      <c r="M87" s="73">
        <f t="shared" ref="M87:M94" si="41">E87*$P$12</f>
        <v>1008.605576</v>
      </c>
      <c r="N87" s="65">
        <f t="shared" ref="N87:N94" si="42">-K87+L87-M87</f>
        <v>-239.89446488888893</v>
      </c>
      <c r="O87" s="72">
        <f t="shared" ref="O87:O94" si="43">1/(1+$G$15)^J87</f>
        <v>0.47509279638758667</v>
      </c>
      <c r="P87" s="69">
        <f t="shared" ref="P87:P94" si="44">N87*O87</f>
        <v>-113.97213216196597</v>
      </c>
    </row>
    <row r="88" spans="1:17" ht="15.75" x14ac:dyDescent="0.25">
      <c r="B88" s="64">
        <v>12</v>
      </c>
      <c r="C88" s="434"/>
      <c r="D88" s="71">
        <f>'Enterprise Budget'!$S$43</f>
        <v>817.77777777777783</v>
      </c>
      <c r="E88" s="71">
        <f>'Enterprise Budget'!$S$31</f>
        <v>916.91415999999992</v>
      </c>
      <c r="F88" s="65">
        <f t="shared" si="37"/>
        <v>-99.136382222222096</v>
      </c>
      <c r="G88" s="72">
        <f t="shared" si="38"/>
        <v>0.44401195924073528</v>
      </c>
      <c r="H88" s="69">
        <f t="shared" si="39"/>
        <v>-44.017739302527232</v>
      </c>
      <c r="I88" s="6"/>
      <c r="J88" s="64">
        <v>12</v>
      </c>
      <c r="K88" s="436"/>
      <c r="L88" s="66">
        <f t="shared" si="40"/>
        <v>768.71111111111111</v>
      </c>
      <c r="M88" s="73">
        <f t="shared" si="41"/>
        <v>1008.605576</v>
      </c>
      <c r="N88" s="65">
        <f t="shared" si="42"/>
        <v>-239.89446488888893</v>
      </c>
      <c r="O88" s="72">
        <f t="shared" si="43"/>
        <v>0.44401195924073528</v>
      </c>
      <c r="P88" s="69">
        <f t="shared" si="44"/>
        <v>-106.51601136632335</v>
      </c>
    </row>
    <row r="89" spans="1:17" ht="15.75" x14ac:dyDescent="0.25">
      <c r="B89" s="64">
        <v>13</v>
      </c>
      <c r="C89" s="434"/>
      <c r="D89" s="71">
        <f>'Enterprise Budget'!$S$43</f>
        <v>817.77777777777783</v>
      </c>
      <c r="E89" s="71">
        <f>'Enterprise Budget'!$S$31</f>
        <v>916.91415999999992</v>
      </c>
      <c r="F89" s="65">
        <f t="shared" si="37"/>
        <v>-99.136382222222096</v>
      </c>
      <c r="G89" s="72">
        <f t="shared" si="38"/>
        <v>0.41496444788853759</v>
      </c>
      <c r="H89" s="69">
        <f t="shared" si="39"/>
        <v>-41.138074114511426</v>
      </c>
      <c r="I89" s="6"/>
      <c r="J89" s="64">
        <v>13</v>
      </c>
      <c r="K89" s="436"/>
      <c r="L89" s="66">
        <f t="shared" si="40"/>
        <v>768.71111111111111</v>
      </c>
      <c r="M89" s="73">
        <f t="shared" si="41"/>
        <v>1008.605576</v>
      </c>
      <c r="N89" s="65">
        <f t="shared" si="42"/>
        <v>-239.89446488888893</v>
      </c>
      <c r="O89" s="72">
        <f t="shared" si="43"/>
        <v>0.41496444788853759</v>
      </c>
      <c r="P89" s="69">
        <f t="shared" si="44"/>
        <v>-99.547674174133959</v>
      </c>
    </row>
    <row r="90" spans="1:17" ht="15.75" x14ac:dyDescent="0.25">
      <c r="B90" s="64">
        <v>14</v>
      </c>
      <c r="C90" s="434"/>
      <c r="D90" s="71">
        <f>'Enterprise Budget'!$S$43</f>
        <v>817.77777777777783</v>
      </c>
      <c r="E90" s="71">
        <f>'Enterprise Budget'!$S$31</f>
        <v>916.91415999999992</v>
      </c>
      <c r="F90" s="65">
        <f t="shared" si="37"/>
        <v>-99.136382222222096</v>
      </c>
      <c r="G90" s="72">
        <f t="shared" si="38"/>
        <v>0.3878172410173249</v>
      </c>
      <c r="H90" s="69">
        <f t="shared" si="39"/>
        <v>-38.446798237861152</v>
      </c>
      <c r="I90" s="6"/>
      <c r="J90" s="64">
        <v>14</v>
      </c>
      <c r="K90" s="436"/>
      <c r="L90" s="66">
        <f t="shared" si="40"/>
        <v>768.71111111111111</v>
      </c>
      <c r="M90" s="73">
        <f t="shared" si="41"/>
        <v>1008.605576</v>
      </c>
      <c r="N90" s="65">
        <f t="shared" si="42"/>
        <v>-239.89446488888893</v>
      </c>
      <c r="O90" s="72">
        <f t="shared" si="43"/>
        <v>0.3878172410173249</v>
      </c>
      <c r="P90" s="69">
        <f t="shared" si="44"/>
        <v>-93.035209508536425</v>
      </c>
    </row>
    <row r="91" spans="1:17" ht="15.75" x14ac:dyDescent="0.25">
      <c r="B91" s="64">
        <v>15</v>
      </c>
      <c r="C91" s="434"/>
      <c r="D91" s="71">
        <f>'Enterprise Budget'!$S$43</f>
        <v>817.77777777777783</v>
      </c>
      <c r="E91" s="71">
        <f>'Enterprise Budget'!$S$31</f>
        <v>916.91415999999992</v>
      </c>
      <c r="F91" s="65">
        <f t="shared" si="37"/>
        <v>-99.136382222222096</v>
      </c>
      <c r="G91" s="72">
        <f t="shared" si="38"/>
        <v>0.36244601964235967</v>
      </c>
      <c r="H91" s="69">
        <f t="shared" si="39"/>
        <v>-35.931587138187986</v>
      </c>
      <c r="I91" s="6"/>
      <c r="J91" s="64">
        <v>15</v>
      </c>
      <c r="K91" s="436"/>
      <c r="L91" s="66">
        <f t="shared" si="40"/>
        <v>768.71111111111111</v>
      </c>
      <c r="M91" s="73">
        <f t="shared" si="41"/>
        <v>1008.605576</v>
      </c>
      <c r="N91" s="65">
        <f t="shared" si="42"/>
        <v>-239.89446488888893</v>
      </c>
      <c r="O91" s="72">
        <f t="shared" si="43"/>
        <v>0.36244601964235967</v>
      </c>
      <c r="P91" s="69">
        <f t="shared" si="44"/>
        <v>-86.948793933211604</v>
      </c>
    </row>
    <row r="92" spans="1:17" ht="15.75" x14ac:dyDescent="0.25">
      <c r="B92" s="64">
        <v>16</v>
      </c>
      <c r="C92" s="434"/>
      <c r="D92" s="71">
        <f>'Enterprise Budget'!$S$43</f>
        <v>817.77777777777783</v>
      </c>
      <c r="E92" s="71">
        <f>'Enterprise Budget'!$S$31</f>
        <v>916.91415999999992</v>
      </c>
      <c r="F92" s="65">
        <f t="shared" si="37"/>
        <v>-99.136382222222096</v>
      </c>
      <c r="G92" s="72">
        <f t="shared" si="38"/>
        <v>0.33873459779659787</v>
      </c>
      <c r="H92" s="69">
        <f t="shared" si="39"/>
        <v>-33.580922559054194</v>
      </c>
      <c r="I92" s="6"/>
      <c r="J92" s="64">
        <v>16</v>
      </c>
      <c r="K92" s="436"/>
      <c r="L92" s="66">
        <f t="shared" si="40"/>
        <v>768.71111111111111</v>
      </c>
      <c r="M92" s="73">
        <f t="shared" si="41"/>
        <v>1008.605576</v>
      </c>
      <c r="N92" s="65">
        <f t="shared" si="42"/>
        <v>-239.89446488888893</v>
      </c>
      <c r="O92" s="72">
        <f t="shared" si="43"/>
        <v>0.33873459779659787</v>
      </c>
      <c r="P92" s="69">
        <f t="shared" si="44"/>
        <v>-81.260555077767862</v>
      </c>
    </row>
    <row r="93" spans="1:17" ht="15.75" x14ac:dyDescent="0.25">
      <c r="B93" s="64">
        <v>17</v>
      </c>
      <c r="C93" s="434"/>
      <c r="D93" s="71">
        <f>'Enterprise Budget'!$S$43</f>
        <v>817.77777777777783</v>
      </c>
      <c r="E93" s="71">
        <f>'Enterprise Budget'!$S$31</f>
        <v>916.91415999999992</v>
      </c>
      <c r="F93" s="65">
        <f t="shared" si="37"/>
        <v>-99.136382222222096</v>
      </c>
      <c r="G93" s="72">
        <f t="shared" si="38"/>
        <v>0.31657439046411018</v>
      </c>
      <c r="H93" s="69">
        <f t="shared" si="39"/>
        <v>-31.384039774817008</v>
      </c>
      <c r="I93" s="6"/>
      <c r="J93" s="64">
        <v>17</v>
      </c>
      <c r="K93" s="436"/>
      <c r="L93" s="66">
        <f t="shared" si="40"/>
        <v>768.71111111111111</v>
      </c>
      <c r="M93" s="73">
        <f t="shared" si="41"/>
        <v>1008.605576</v>
      </c>
      <c r="N93" s="65">
        <f t="shared" si="42"/>
        <v>-239.89446488888893</v>
      </c>
      <c r="O93" s="72">
        <f t="shared" si="43"/>
        <v>0.31657439046411018</v>
      </c>
      <c r="P93" s="69">
        <f t="shared" si="44"/>
        <v>-75.944443997913893</v>
      </c>
    </row>
    <row r="94" spans="1:17" ht="15.75" x14ac:dyDescent="0.25">
      <c r="B94" s="64">
        <v>18</v>
      </c>
      <c r="C94" s="434"/>
      <c r="D94" s="71">
        <f>'Enterprise Budget'!$S$43</f>
        <v>817.77777777777783</v>
      </c>
      <c r="E94" s="71">
        <f>'Enterprise Budget'!$S$31</f>
        <v>916.91415999999992</v>
      </c>
      <c r="F94" s="65">
        <f t="shared" si="37"/>
        <v>-99.136382222222096</v>
      </c>
      <c r="G94" s="72">
        <f t="shared" si="38"/>
        <v>0.29586391632159825</v>
      </c>
      <c r="H94" s="69">
        <f t="shared" si="39"/>
        <v>-29.330878294221499</v>
      </c>
      <c r="I94" s="6"/>
      <c r="J94" s="64">
        <v>18</v>
      </c>
      <c r="K94" s="436"/>
      <c r="L94" s="66">
        <f t="shared" si="40"/>
        <v>768.71111111111111</v>
      </c>
      <c r="M94" s="73">
        <f t="shared" si="41"/>
        <v>1008.605576</v>
      </c>
      <c r="N94" s="65">
        <f t="shared" si="42"/>
        <v>-239.89446488888893</v>
      </c>
      <c r="O94" s="72">
        <f t="shared" si="43"/>
        <v>0.29586391632159825</v>
      </c>
      <c r="P94" s="69">
        <f t="shared" si="44"/>
        <v>-70.976115885900825</v>
      </c>
    </row>
    <row r="95" spans="1:17" ht="16.5" thickBot="1" x14ac:dyDescent="0.3">
      <c r="B95" s="468" t="s">
        <v>15</v>
      </c>
      <c r="C95" s="469"/>
      <c r="D95" s="469"/>
      <c r="E95" s="469"/>
      <c r="F95" s="469"/>
      <c r="G95" s="469"/>
      <c r="H95" s="74">
        <f>SUM(H76:H94)</f>
        <v>-4931.4966846857214</v>
      </c>
      <c r="I95" s="6"/>
      <c r="J95" s="461" t="s">
        <v>15</v>
      </c>
      <c r="K95" s="462"/>
      <c r="L95" s="462"/>
      <c r="M95" s="462"/>
      <c r="N95" s="462"/>
      <c r="O95" s="463"/>
      <c r="P95" s="74">
        <f>SUM(P76:P94)</f>
        <v>-6347.3944714712579</v>
      </c>
    </row>
    <row r="96" spans="1:17" x14ac:dyDescent="0.25">
      <c r="A96" s="6"/>
      <c r="B96" s="6"/>
      <c r="C96" s="6"/>
      <c r="D96" s="6"/>
      <c r="E96" s="6"/>
      <c r="F96" s="6"/>
      <c r="G96" s="6"/>
      <c r="H96" s="6"/>
      <c r="I96" s="6"/>
      <c r="J96" s="6"/>
      <c r="K96" s="6"/>
      <c r="L96" s="6"/>
      <c r="M96" s="6"/>
      <c r="N96" s="6"/>
      <c r="O96" s="6"/>
      <c r="P96" s="6"/>
      <c r="Q96" s="6"/>
    </row>
    <row r="97" spans="2:17" s="76" customFormat="1" ht="15.75" x14ac:dyDescent="0.25">
      <c r="B97" s="28" t="s">
        <v>85</v>
      </c>
      <c r="C97" s="88" t="s">
        <v>45</v>
      </c>
      <c r="D97" s="75"/>
      <c r="E97" s="75"/>
      <c r="F97" s="75"/>
      <c r="G97" s="75"/>
      <c r="H97" s="75"/>
      <c r="I97" s="75"/>
      <c r="J97" s="75"/>
      <c r="K97" s="75"/>
      <c r="L97" s="75"/>
      <c r="M97" s="75"/>
      <c r="N97" s="75"/>
      <c r="O97" s="75"/>
      <c r="P97" s="75"/>
      <c r="Q97" s="75"/>
    </row>
    <row r="98" spans="2:17" ht="15.75" x14ac:dyDescent="0.25">
      <c r="B98" s="30" t="s">
        <v>84</v>
      </c>
      <c r="C98" s="90" t="str">
        <f>Input!I11</f>
        <v>Irrigated</v>
      </c>
      <c r="D98" s="6"/>
      <c r="E98" s="6"/>
      <c r="F98" s="6"/>
      <c r="G98" s="6"/>
      <c r="H98" s="6"/>
      <c r="I98" s="6"/>
      <c r="J98" s="6"/>
      <c r="K98" s="6"/>
      <c r="L98" s="6"/>
      <c r="M98" s="6"/>
      <c r="N98" s="6"/>
      <c r="O98" s="6"/>
      <c r="P98" s="6"/>
      <c r="Q98" s="6"/>
    </row>
    <row r="99" spans="2:17" ht="16.5" thickBot="1" x14ac:dyDescent="0.3">
      <c r="B99" s="83" t="s">
        <v>86</v>
      </c>
      <c r="C99" s="89" t="s">
        <v>38</v>
      </c>
      <c r="D99" s="6"/>
      <c r="E99" s="6"/>
      <c r="F99" s="6"/>
      <c r="G99" s="6"/>
      <c r="H99" s="6"/>
      <c r="I99" s="6"/>
      <c r="J99" s="6"/>
      <c r="K99" s="6"/>
      <c r="L99" s="6"/>
      <c r="M99" s="6"/>
      <c r="N99" s="6"/>
      <c r="O99" s="6"/>
      <c r="P99" s="6"/>
      <c r="Q99" s="6"/>
    </row>
    <row r="100" spans="2:17" ht="19.5" thickBot="1" x14ac:dyDescent="0.35">
      <c r="B100" s="458" t="s">
        <v>16</v>
      </c>
      <c r="C100" s="459"/>
      <c r="D100" s="459"/>
      <c r="E100" s="459"/>
      <c r="F100" s="459"/>
      <c r="G100" s="459"/>
      <c r="H100" s="460"/>
      <c r="I100" s="6"/>
      <c r="J100" s="458" t="s">
        <v>17</v>
      </c>
      <c r="K100" s="459"/>
      <c r="L100" s="459"/>
      <c r="M100" s="459"/>
      <c r="N100" s="459"/>
      <c r="O100" s="459"/>
      <c r="P100" s="460"/>
    </row>
    <row r="101" spans="2:17" ht="15.75" x14ac:dyDescent="0.25">
      <c r="B101" s="49"/>
      <c r="C101" s="6"/>
      <c r="D101" s="6"/>
      <c r="E101" s="6"/>
      <c r="F101" s="6"/>
      <c r="G101" s="6"/>
      <c r="H101" s="50"/>
      <c r="I101" s="6"/>
      <c r="J101" s="49"/>
      <c r="K101" s="6"/>
      <c r="L101" s="6"/>
      <c r="M101" s="464" t="s">
        <v>18</v>
      </c>
      <c r="N101" s="464"/>
      <c r="O101" s="464"/>
      <c r="P101" s="77">
        <f>P11</f>
        <v>0.94</v>
      </c>
    </row>
    <row r="102" spans="2:17" ht="18.75" x14ac:dyDescent="0.3">
      <c r="B102" s="49"/>
      <c r="C102" s="6"/>
      <c r="D102" s="6"/>
      <c r="E102" s="6"/>
      <c r="F102" s="6"/>
      <c r="G102" s="6"/>
      <c r="H102" s="50"/>
      <c r="I102" s="6"/>
      <c r="J102" s="52"/>
      <c r="K102" s="6"/>
      <c r="L102" s="6"/>
      <c r="M102" s="465" t="s">
        <v>19</v>
      </c>
      <c r="N102" s="466"/>
      <c r="O102" s="467"/>
      <c r="P102" s="78">
        <f>P12</f>
        <v>1.1000000000000001</v>
      </c>
    </row>
    <row r="103" spans="2:17" ht="15.75" x14ac:dyDescent="0.25">
      <c r="B103" s="54"/>
      <c r="C103" s="55"/>
      <c r="D103" s="55"/>
      <c r="E103" s="55"/>
      <c r="F103" s="55"/>
      <c r="G103" s="55" t="s">
        <v>3</v>
      </c>
      <c r="H103" s="56"/>
      <c r="I103" s="6"/>
      <c r="J103" s="54"/>
      <c r="K103" s="55"/>
      <c r="L103" s="55"/>
      <c r="M103" s="55"/>
      <c r="N103" s="55"/>
      <c r="O103" s="55" t="s">
        <v>3</v>
      </c>
      <c r="P103" s="56"/>
    </row>
    <row r="104" spans="2:17" ht="15.75" x14ac:dyDescent="0.25">
      <c r="B104" s="57"/>
      <c r="C104" s="58" t="s">
        <v>4</v>
      </c>
      <c r="D104" s="58" t="s">
        <v>5</v>
      </c>
      <c r="E104" s="58" t="s">
        <v>6</v>
      </c>
      <c r="F104" s="58" t="s">
        <v>7</v>
      </c>
      <c r="G104" s="58" t="s">
        <v>8</v>
      </c>
      <c r="H104" s="59" t="s">
        <v>9</v>
      </c>
      <c r="I104" s="6"/>
      <c r="J104" s="57"/>
      <c r="K104" s="58" t="s">
        <v>4</v>
      </c>
      <c r="L104" s="58" t="s">
        <v>5</v>
      </c>
      <c r="M104" s="58" t="s">
        <v>6</v>
      </c>
      <c r="N104" s="58" t="s">
        <v>7</v>
      </c>
      <c r="O104" s="58" t="s">
        <v>8</v>
      </c>
      <c r="P104" s="59" t="s">
        <v>9</v>
      </c>
    </row>
    <row r="105" spans="2:17" ht="15.75" x14ac:dyDescent="0.25">
      <c r="B105" s="60" t="s">
        <v>10</v>
      </c>
      <c r="C105" s="61" t="s">
        <v>11</v>
      </c>
      <c r="D105" s="61" t="s">
        <v>12</v>
      </c>
      <c r="E105" s="61" t="s">
        <v>11</v>
      </c>
      <c r="F105" s="61" t="s">
        <v>13</v>
      </c>
      <c r="G105" s="79">
        <f>G15</f>
        <v>7.0000000000000007E-2</v>
      </c>
      <c r="H105" s="62" t="s">
        <v>14</v>
      </c>
      <c r="I105" s="6"/>
      <c r="J105" s="60" t="s">
        <v>10</v>
      </c>
      <c r="K105" s="61" t="s">
        <v>11</v>
      </c>
      <c r="L105" s="61" t="s">
        <v>12</v>
      </c>
      <c r="M105" s="61" t="s">
        <v>11</v>
      </c>
      <c r="N105" s="61" t="s">
        <v>13</v>
      </c>
      <c r="O105" s="63">
        <f>G105</f>
        <v>7.0000000000000007E-2</v>
      </c>
      <c r="P105" s="62" t="s">
        <v>14</v>
      </c>
    </row>
    <row r="106" spans="2:17" ht="15.75" x14ac:dyDescent="0.25">
      <c r="B106" s="64">
        <v>0</v>
      </c>
      <c r="C106" s="65">
        <f>'Start-Up Costs'!T25</f>
        <v>4054.2752</v>
      </c>
      <c r="D106" s="66">
        <v>0</v>
      </c>
      <c r="E106" s="67">
        <v>0</v>
      </c>
      <c r="F106" s="65">
        <f>-C106+D106-E106</f>
        <v>-4054.2752</v>
      </c>
      <c r="G106" s="68">
        <v>1</v>
      </c>
      <c r="H106" s="69">
        <f t="shared" ref="H106:H116" si="45">F106*G106</f>
        <v>-4054.2752</v>
      </c>
      <c r="I106" s="6"/>
      <c r="J106" s="64">
        <v>0</v>
      </c>
      <c r="K106" s="65">
        <f>C106</f>
        <v>4054.2752</v>
      </c>
      <c r="L106" s="66">
        <f>D106</f>
        <v>0</v>
      </c>
      <c r="M106" s="67">
        <f>-E106</f>
        <v>0</v>
      </c>
      <c r="N106" s="65">
        <f t="shared" ref="N106:N116" si="46">-K106+L106-M106</f>
        <v>-4054.2752</v>
      </c>
      <c r="O106" s="68">
        <v>1</v>
      </c>
      <c r="P106" s="69">
        <f t="shared" ref="P106:P116" si="47">N106*O106</f>
        <v>-4054.2752</v>
      </c>
    </row>
    <row r="107" spans="2:17" ht="15.75" x14ac:dyDescent="0.25">
      <c r="B107" s="64">
        <v>1</v>
      </c>
      <c r="C107" s="70"/>
      <c r="D107" s="71">
        <f>'Enterprise Budget'!$V$43</f>
        <v>817.77777777777783</v>
      </c>
      <c r="E107" s="71">
        <f>'Enterprise Budget'!$V$31</f>
        <v>916.91415999999992</v>
      </c>
      <c r="F107" s="65">
        <f t="shared" ref="F107:F116" si="48">D107-E107</f>
        <v>-99.136382222222096</v>
      </c>
      <c r="G107" s="72">
        <f t="shared" ref="G107:G116" si="49">1/(1+$G$15)^B107</f>
        <v>0.93457943925233644</v>
      </c>
      <c r="H107" s="69">
        <f t="shared" si="45"/>
        <v>-92.650824506749615</v>
      </c>
      <c r="I107" s="6"/>
      <c r="J107" s="64">
        <v>1</v>
      </c>
      <c r="K107" s="435"/>
      <c r="L107" s="66">
        <f t="shared" ref="L107:L116" si="50">D107*$P$11</f>
        <v>768.71111111111111</v>
      </c>
      <c r="M107" s="73">
        <f t="shared" ref="M107:M116" si="51">E107*$P$12</f>
        <v>1008.605576</v>
      </c>
      <c r="N107" s="65">
        <f t="shared" si="46"/>
        <v>-239.89446488888893</v>
      </c>
      <c r="O107" s="72">
        <f t="shared" ref="O107:O116" si="52">1/(1+$G$15)^J107</f>
        <v>0.93457943925233644</v>
      </c>
      <c r="P107" s="69">
        <f t="shared" si="47"/>
        <v>-224.20043447559712</v>
      </c>
    </row>
    <row r="108" spans="2:17" ht="15.75" x14ac:dyDescent="0.25">
      <c r="B108" s="64">
        <v>2</v>
      </c>
      <c r="C108" s="70"/>
      <c r="D108" s="71">
        <f>'Enterprise Budget'!$V$43</f>
        <v>817.77777777777783</v>
      </c>
      <c r="E108" s="71">
        <f>'Enterprise Budget'!$V$31</f>
        <v>916.91415999999992</v>
      </c>
      <c r="F108" s="65">
        <f t="shared" si="48"/>
        <v>-99.136382222222096</v>
      </c>
      <c r="G108" s="72">
        <f t="shared" si="49"/>
        <v>0.87343872827321156</v>
      </c>
      <c r="H108" s="69">
        <f t="shared" si="45"/>
        <v>-86.589555613784682</v>
      </c>
      <c r="I108" s="6"/>
      <c r="J108" s="64">
        <v>2</v>
      </c>
      <c r="K108" s="435"/>
      <c r="L108" s="66">
        <f t="shared" si="50"/>
        <v>768.71111111111111</v>
      </c>
      <c r="M108" s="73">
        <f t="shared" si="51"/>
        <v>1008.605576</v>
      </c>
      <c r="N108" s="65">
        <f t="shared" si="46"/>
        <v>-239.89446488888893</v>
      </c>
      <c r="O108" s="72">
        <f t="shared" si="52"/>
        <v>0.87343872827321156</v>
      </c>
      <c r="P108" s="69">
        <f t="shared" si="47"/>
        <v>-209.53311633233375</v>
      </c>
    </row>
    <row r="109" spans="2:17" ht="15.75" x14ac:dyDescent="0.25">
      <c r="B109" s="64">
        <v>3</v>
      </c>
      <c r="C109" s="70"/>
      <c r="D109" s="71">
        <f>'Enterprise Budget'!$V$43</f>
        <v>817.77777777777783</v>
      </c>
      <c r="E109" s="71">
        <f>'Enterprise Budget'!$V$31</f>
        <v>916.91415999999992</v>
      </c>
      <c r="F109" s="65">
        <f t="shared" si="48"/>
        <v>-99.136382222222096</v>
      </c>
      <c r="G109" s="72">
        <f t="shared" si="49"/>
        <v>0.81629787689085187</v>
      </c>
      <c r="H109" s="69">
        <f t="shared" si="45"/>
        <v>-80.924818330639894</v>
      </c>
      <c r="I109" s="6"/>
      <c r="J109" s="64">
        <v>3</v>
      </c>
      <c r="K109" s="435"/>
      <c r="L109" s="66">
        <f t="shared" si="50"/>
        <v>768.71111111111111</v>
      </c>
      <c r="M109" s="73">
        <f t="shared" si="51"/>
        <v>1008.605576</v>
      </c>
      <c r="N109" s="65">
        <f t="shared" si="46"/>
        <v>-239.89446488888893</v>
      </c>
      <c r="O109" s="72">
        <f t="shared" si="52"/>
        <v>0.81629787689085187</v>
      </c>
      <c r="P109" s="69">
        <f t="shared" si="47"/>
        <v>-195.82534236666706</v>
      </c>
    </row>
    <row r="110" spans="2:17" ht="15.75" x14ac:dyDescent="0.25">
      <c r="B110" s="64">
        <v>4</v>
      </c>
      <c r="C110" s="70"/>
      <c r="D110" s="71">
        <f>'Enterprise Budget'!$V$43</f>
        <v>817.77777777777783</v>
      </c>
      <c r="E110" s="71">
        <f>'Enterprise Budget'!$V$31</f>
        <v>916.91415999999992</v>
      </c>
      <c r="F110" s="65">
        <f t="shared" si="48"/>
        <v>-99.136382222222096</v>
      </c>
      <c r="G110" s="72">
        <f t="shared" si="49"/>
        <v>0.7628952120475252</v>
      </c>
      <c r="H110" s="69">
        <f t="shared" si="45"/>
        <v>-75.630671337046635</v>
      </c>
      <c r="I110" s="6"/>
      <c r="J110" s="64">
        <v>4</v>
      </c>
      <c r="K110" s="435"/>
      <c r="L110" s="66">
        <f t="shared" si="50"/>
        <v>768.71111111111111</v>
      </c>
      <c r="M110" s="73">
        <f t="shared" si="51"/>
        <v>1008.605576</v>
      </c>
      <c r="N110" s="65">
        <f t="shared" si="46"/>
        <v>-239.89446488888893</v>
      </c>
      <c r="O110" s="72">
        <f t="shared" si="52"/>
        <v>0.7628952120475252</v>
      </c>
      <c r="P110" s="69">
        <f t="shared" si="47"/>
        <v>-183.01433866043652</v>
      </c>
    </row>
    <row r="111" spans="2:17" ht="15.75" x14ac:dyDescent="0.25">
      <c r="B111" s="64">
        <v>5</v>
      </c>
      <c r="C111" s="70"/>
      <c r="D111" s="71">
        <f>'Enterprise Budget'!$V$43</f>
        <v>817.77777777777783</v>
      </c>
      <c r="E111" s="71">
        <f>'Enterprise Budget'!$V$31</f>
        <v>916.91415999999992</v>
      </c>
      <c r="F111" s="65">
        <f t="shared" si="48"/>
        <v>-99.136382222222096</v>
      </c>
      <c r="G111" s="72">
        <f t="shared" si="49"/>
        <v>0.71298617948366838</v>
      </c>
      <c r="H111" s="69">
        <f t="shared" si="45"/>
        <v>-70.682870408454789</v>
      </c>
      <c r="I111" s="6"/>
      <c r="J111" s="64">
        <v>5</v>
      </c>
      <c r="K111" s="435"/>
      <c r="L111" s="66">
        <f t="shared" si="50"/>
        <v>768.71111111111111</v>
      </c>
      <c r="M111" s="73">
        <f t="shared" si="51"/>
        <v>1008.605576</v>
      </c>
      <c r="N111" s="65">
        <f t="shared" si="46"/>
        <v>-239.89446488888893</v>
      </c>
      <c r="O111" s="72">
        <f t="shared" si="52"/>
        <v>0.71298617948366838</v>
      </c>
      <c r="P111" s="69">
        <f t="shared" si="47"/>
        <v>-171.04143800040794</v>
      </c>
    </row>
    <row r="112" spans="2:17" ht="15.75" x14ac:dyDescent="0.25">
      <c r="B112" s="64">
        <v>6</v>
      </c>
      <c r="C112" s="70"/>
      <c r="D112" s="71">
        <f>'Enterprise Budget'!$V$43</f>
        <v>817.77777777777783</v>
      </c>
      <c r="E112" s="71">
        <f>'Enterprise Budget'!$V$31</f>
        <v>916.91415999999992</v>
      </c>
      <c r="F112" s="65">
        <f t="shared" si="48"/>
        <v>-99.136382222222096</v>
      </c>
      <c r="G112" s="72">
        <f t="shared" si="49"/>
        <v>0.66634222381651254</v>
      </c>
      <c r="H112" s="69">
        <f t="shared" si="45"/>
        <v>-66.058757391079254</v>
      </c>
      <c r="I112" s="6"/>
      <c r="J112" s="64">
        <v>6</v>
      </c>
      <c r="K112" s="435"/>
      <c r="L112" s="66">
        <f t="shared" si="50"/>
        <v>768.71111111111111</v>
      </c>
      <c r="M112" s="73">
        <f t="shared" si="51"/>
        <v>1008.605576</v>
      </c>
      <c r="N112" s="65">
        <f t="shared" si="46"/>
        <v>-239.89446488888893</v>
      </c>
      <c r="O112" s="72">
        <f t="shared" si="52"/>
        <v>0.66634222381651254</v>
      </c>
      <c r="P112" s="69">
        <f t="shared" si="47"/>
        <v>-159.85181121533455</v>
      </c>
    </row>
    <row r="113" spans="1:17" ht="15.75" x14ac:dyDescent="0.25">
      <c r="B113" s="64">
        <v>7</v>
      </c>
      <c r="C113" s="70"/>
      <c r="D113" s="71">
        <f>'Enterprise Budget'!$V$43</f>
        <v>817.77777777777783</v>
      </c>
      <c r="E113" s="71">
        <f>'Enterprise Budget'!$V$31</f>
        <v>916.91415999999992</v>
      </c>
      <c r="F113" s="65">
        <f t="shared" si="48"/>
        <v>-99.136382222222096</v>
      </c>
      <c r="G113" s="72">
        <f t="shared" si="49"/>
        <v>0.62274974188459109</v>
      </c>
      <c r="H113" s="69">
        <f t="shared" si="45"/>
        <v>-61.737156440260975</v>
      </c>
      <c r="I113" s="6"/>
      <c r="J113" s="64">
        <v>7</v>
      </c>
      <c r="K113" s="435"/>
      <c r="L113" s="66">
        <f t="shared" si="50"/>
        <v>768.71111111111111</v>
      </c>
      <c r="M113" s="73">
        <f t="shared" si="51"/>
        <v>1008.605576</v>
      </c>
      <c r="N113" s="65">
        <f t="shared" si="46"/>
        <v>-239.89446488888893</v>
      </c>
      <c r="O113" s="72">
        <f t="shared" si="52"/>
        <v>0.62274974188459109</v>
      </c>
      <c r="P113" s="69">
        <f t="shared" si="47"/>
        <v>-149.39421608909768</v>
      </c>
    </row>
    <row r="114" spans="1:17" ht="15.75" x14ac:dyDescent="0.25">
      <c r="B114" s="64">
        <v>8</v>
      </c>
      <c r="C114" s="70"/>
      <c r="D114" s="71">
        <f>'Enterprise Budget'!$V$43</f>
        <v>817.77777777777783</v>
      </c>
      <c r="E114" s="71">
        <f>'Enterprise Budget'!$V$31</f>
        <v>916.91415999999992</v>
      </c>
      <c r="F114" s="65">
        <f t="shared" si="48"/>
        <v>-99.136382222222096</v>
      </c>
      <c r="G114" s="72">
        <f t="shared" si="49"/>
        <v>0.5820091045650384</v>
      </c>
      <c r="H114" s="69">
        <f t="shared" si="45"/>
        <v>-57.698277046972876</v>
      </c>
      <c r="I114" s="6"/>
      <c r="J114" s="64">
        <v>8</v>
      </c>
      <c r="K114" s="435"/>
      <c r="L114" s="66">
        <f t="shared" si="50"/>
        <v>768.71111111111111</v>
      </c>
      <c r="M114" s="73">
        <f t="shared" si="51"/>
        <v>1008.605576</v>
      </c>
      <c r="N114" s="65">
        <f t="shared" si="46"/>
        <v>-239.89446488888893</v>
      </c>
      <c r="O114" s="72">
        <f t="shared" si="52"/>
        <v>0.5820091045650384</v>
      </c>
      <c r="P114" s="69">
        <f t="shared" si="47"/>
        <v>-139.62076270009129</v>
      </c>
    </row>
    <row r="115" spans="1:17" ht="15.75" x14ac:dyDescent="0.25">
      <c r="B115" s="64">
        <v>9</v>
      </c>
      <c r="C115" s="70"/>
      <c r="D115" s="71">
        <f>'Enterprise Budget'!$V$43</f>
        <v>817.77777777777783</v>
      </c>
      <c r="E115" s="71">
        <f>'Enterprise Budget'!$V$31</f>
        <v>916.91415999999992</v>
      </c>
      <c r="F115" s="65">
        <f t="shared" si="48"/>
        <v>-99.136382222222096</v>
      </c>
      <c r="G115" s="72">
        <f t="shared" si="49"/>
        <v>0.54393374258414806</v>
      </c>
      <c r="H115" s="69">
        <f t="shared" si="45"/>
        <v>-53.923623408385865</v>
      </c>
      <c r="I115" s="6"/>
      <c r="J115" s="64">
        <v>9</v>
      </c>
      <c r="K115" s="435"/>
      <c r="L115" s="66">
        <f t="shared" si="50"/>
        <v>768.71111111111111</v>
      </c>
      <c r="M115" s="73">
        <f t="shared" si="51"/>
        <v>1008.605576</v>
      </c>
      <c r="N115" s="65">
        <f t="shared" si="46"/>
        <v>-239.89446488888893</v>
      </c>
      <c r="O115" s="72">
        <f t="shared" si="52"/>
        <v>0.54393374258414806</v>
      </c>
      <c r="P115" s="69">
        <f t="shared" si="47"/>
        <v>-130.48669411223486</v>
      </c>
    </row>
    <row r="116" spans="1:17" ht="15.75" x14ac:dyDescent="0.25">
      <c r="B116" s="64">
        <v>10</v>
      </c>
      <c r="C116" s="70"/>
      <c r="D116" s="71">
        <f>'Enterprise Budget'!$V$43</f>
        <v>817.77777777777783</v>
      </c>
      <c r="E116" s="71">
        <f>'Enterprise Budget'!$V$31</f>
        <v>916.91415999999992</v>
      </c>
      <c r="F116" s="65">
        <f t="shared" si="48"/>
        <v>-99.136382222222096</v>
      </c>
      <c r="G116" s="72">
        <f t="shared" si="49"/>
        <v>0.5083492921347178</v>
      </c>
      <c r="H116" s="69">
        <f t="shared" si="45"/>
        <v>-50.395909727463426</v>
      </c>
      <c r="I116" s="6"/>
      <c r="J116" s="64">
        <v>10</v>
      </c>
      <c r="K116" s="435"/>
      <c r="L116" s="66">
        <f t="shared" si="50"/>
        <v>768.71111111111111</v>
      </c>
      <c r="M116" s="73">
        <f t="shared" si="51"/>
        <v>1008.605576</v>
      </c>
      <c r="N116" s="65">
        <f t="shared" si="46"/>
        <v>-239.89446488888893</v>
      </c>
      <c r="O116" s="72">
        <f t="shared" si="52"/>
        <v>0.5083492921347178</v>
      </c>
      <c r="P116" s="69">
        <f t="shared" si="47"/>
        <v>-121.9501814133036</v>
      </c>
    </row>
    <row r="117" spans="1:17" ht="15.75" x14ac:dyDescent="0.25">
      <c r="B117" s="64">
        <v>11</v>
      </c>
      <c r="C117" s="434"/>
      <c r="D117" s="71">
        <f>'Enterprise Budget'!$V$43</f>
        <v>817.77777777777783</v>
      </c>
      <c r="E117" s="71">
        <f>'Enterprise Budget'!$V$31</f>
        <v>916.91415999999992</v>
      </c>
      <c r="F117" s="65">
        <f t="shared" ref="F117:F124" si="53">D117-E117</f>
        <v>-99.136382222222096</v>
      </c>
      <c r="G117" s="72">
        <f t="shared" ref="G117:G124" si="54">1/(1+$G$15)^B117</f>
        <v>0.47509279638758667</v>
      </c>
      <c r="H117" s="69">
        <f t="shared" ref="H117:H124" si="55">F117*G117</f>
        <v>-47.098981053704129</v>
      </c>
      <c r="I117" s="6"/>
      <c r="J117" s="64">
        <v>11</v>
      </c>
      <c r="K117" s="436"/>
      <c r="L117" s="66">
        <f t="shared" ref="L117:L124" si="56">D117*$P$11</f>
        <v>768.71111111111111</v>
      </c>
      <c r="M117" s="73">
        <f t="shared" ref="M117:M124" si="57">E117*$P$12</f>
        <v>1008.605576</v>
      </c>
      <c r="N117" s="65">
        <f t="shared" ref="N117:N124" si="58">-K117+L117-M117</f>
        <v>-239.89446488888893</v>
      </c>
      <c r="O117" s="72">
        <f t="shared" ref="O117:O124" si="59">1/(1+$G$15)^J117</f>
        <v>0.47509279638758667</v>
      </c>
      <c r="P117" s="69">
        <f t="shared" ref="P117:P124" si="60">N117*O117</f>
        <v>-113.97213216196597</v>
      </c>
    </row>
    <row r="118" spans="1:17" ht="15.75" x14ac:dyDescent="0.25">
      <c r="B118" s="64">
        <v>12</v>
      </c>
      <c r="C118" s="434"/>
      <c r="D118" s="71">
        <f>'Enterprise Budget'!$V$43</f>
        <v>817.77777777777783</v>
      </c>
      <c r="E118" s="71">
        <f>'Enterprise Budget'!$V$31</f>
        <v>916.91415999999992</v>
      </c>
      <c r="F118" s="65">
        <f t="shared" si="53"/>
        <v>-99.136382222222096</v>
      </c>
      <c r="G118" s="72">
        <f t="shared" si="54"/>
        <v>0.44401195924073528</v>
      </c>
      <c r="H118" s="69">
        <f t="shared" si="55"/>
        <v>-44.017739302527232</v>
      </c>
      <c r="I118" s="6"/>
      <c r="J118" s="64">
        <v>12</v>
      </c>
      <c r="K118" s="436"/>
      <c r="L118" s="66">
        <f t="shared" si="56"/>
        <v>768.71111111111111</v>
      </c>
      <c r="M118" s="73">
        <f t="shared" si="57"/>
        <v>1008.605576</v>
      </c>
      <c r="N118" s="65">
        <f t="shared" si="58"/>
        <v>-239.89446488888893</v>
      </c>
      <c r="O118" s="72">
        <f t="shared" si="59"/>
        <v>0.44401195924073528</v>
      </c>
      <c r="P118" s="69">
        <f t="shared" si="60"/>
        <v>-106.51601136632335</v>
      </c>
    </row>
    <row r="119" spans="1:17" ht="15.75" x14ac:dyDescent="0.25">
      <c r="B119" s="64">
        <v>13</v>
      </c>
      <c r="C119" s="434"/>
      <c r="D119" s="71">
        <f>'Enterprise Budget'!$V$43</f>
        <v>817.77777777777783</v>
      </c>
      <c r="E119" s="71">
        <f>'Enterprise Budget'!$V$31</f>
        <v>916.91415999999992</v>
      </c>
      <c r="F119" s="65">
        <f t="shared" si="53"/>
        <v>-99.136382222222096</v>
      </c>
      <c r="G119" s="72">
        <f t="shared" si="54"/>
        <v>0.41496444788853759</v>
      </c>
      <c r="H119" s="69">
        <f t="shared" si="55"/>
        <v>-41.138074114511426</v>
      </c>
      <c r="I119" s="6"/>
      <c r="J119" s="64">
        <v>13</v>
      </c>
      <c r="K119" s="436"/>
      <c r="L119" s="66">
        <f t="shared" si="56"/>
        <v>768.71111111111111</v>
      </c>
      <c r="M119" s="73">
        <f t="shared" si="57"/>
        <v>1008.605576</v>
      </c>
      <c r="N119" s="65">
        <f t="shared" si="58"/>
        <v>-239.89446488888893</v>
      </c>
      <c r="O119" s="72">
        <f t="shared" si="59"/>
        <v>0.41496444788853759</v>
      </c>
      <c r="P119" s="69">
        <f t="shared" si="60"/>
        <v>-99.547674174133959</v>
      </c>
    </row>
    <row r="120" spans="1:17" ht="15.75" x14ac:dyDescent="0.25">
      <c r="B120" s="64">
        <v>14</v>
      </c>
      <c r="C120" s="434"/>
      <c r="D120" s="71">
        <f>'Enterprise Budget'!$V$43</f>
        <v>817.77777777777783</v>
      </c>
      <c r="E120" s="71">
        <f>'Enterprise Budget'!$V$31</f>
        <v>916.91415999999992</v>
      </c>
      <c r="F120" s="65">
        <f t="shared" si="53"/>
        <v>-99.136382222222096</v>
      </c>
      <c r="G120" s="72">
        <f t="shared" si="54"/>
        <v>0.3878172410173249</v>
      </c>
      <c r="H120" s="69">
        <f t="shared" si="55"/>
        <v>-38.446798237861152</v>
      </c>
      <c r="I120" s="6"/>
      <c r="J120" s="64">
        <v>14</v>
      </c>
      <c r="K120" s="436"/>
      <c r="L120" s="66">
        <f t="shared" si="56"/>
        <v>768.71111111111111</v>
      </c>
      <c r="M120" s="73">
        <f t="shared" si="57"/>
        <v>1008.605576</v>
      </c>
      <c r="N120" s="65">
        <f t="shared" si="58"/>
        <v>-239.89446488888893</v>
      </c>
      <c r="O120" s="72">
        <f t="shared" si="59"/>
        <v>0.3878172410173249</v>
      </c>
      <c r="P120" s="69">
        <f t="shared" si="60"/>
        <v>-93.035209508536425</v>
      </c>
    </row>
    <row r="121" spans="1:17" ht="15.75" x14ac:dyDescent="0.25">
      <c r="B121" s="64">
        <v>15</v>
      </c>
      <c r="C121" s="434"/>
      <c r="D121" s="71">
        <f>'Enterprise Budget'!$V$43</f>
        <v>817.77777777777783</v>
      </c>
      <c r="E121" s="71">
        <f>'Enterprise Budget'!$V$31</f>
        <v>916.91415999999992</v>
      </c>
      <c r="F121" s="65">
        <f t="shared" si="53"/>
        <v>-99.136382222222096</v>
      </c>
      <c r="G121" s="72">
        <f t="shared" si="54"/>
        <v>0.36244601964235967</v>
      </c>
      <c r="H121" s="69">
        <f t="shared" si="55"/>
        <v>-35.931587138187986</v>
      </c>
      <c r="I121" s="6"/>
      <c r="J121" s="64">
        <v>15</v>
      </c>
      <c r="K121" s="436"/>
      <c r="L121" s="66">
        <f t="shared" si="56"/>
        <v>768.71111111111111</v>
      </c>
      <c r="M121" s="73">
        <f t="shared" si="57"/>
        <v>1008.605576</v>
      </c>
      <c r="N121" s="65">
        <f t="shared" si="58"/>
        <v>-239.89446488888893</v>
      </c>
      <c r="O121" s="72">
        <f t="shared" si="59"/>
        <v>0.36244601964235967</v>
      </c>
      <c r="P121" s="69">
        <f t="shared" si="60"/>
        <v>-86.948793933211604</v>
      </c>
    </row>
    <row r="122" spans="1:17" ht="15.75" x14ac:dyDescent="0.25">
      <c r="B122" s="64">
        <v>16</v>
      </c>
      <c r="C122" s="434"/>
      <c r="D122" s="71">
        <f>'Enterprise Budget'!$V$43</f>
        <v>817.77777777777783</v>
      </c>
      <c r="E122" s="71">
        <f>'Enterprise Budget'!$V$31</f>
        <v>916.91415999999992</v>
      </c>
      <c r="F122" s="65">
        <f t="shared" si="53"/>
        <v>-99.136382222222096</v>
      </c>
      <c r="G122" s="72">
        <f t="shared" si="54"/>
        <v>0.33873459779659787</v>
      </c>
      <c r="H122" s="69">
        <f t="shared" si="55"/>
        <v>-33.580922559054194</v>
      </c>
      <c r="I122" s="6"/>
      <c r="J122" s="64">
        <v>16</v>
      </c>
      <c r="K122" s="436"/>
      <c r="L122" s="66">
        <f t="shared" si="56"/>
        <v>768.71111111111111</v>
      </c>
      <c r="M122" s="73">
        <f t="shared" si="57"/>
        <v>1008.605576</v>
      </c>
      <c r="N122" s="65">
        <f t="shared" si="58"/>
        <v>-239.89446488888893</v>
      </c>
      <c r="O122" s="72">
        <f t="shared" si="59"/>
        <v>0.33873459779659787</v>
      </c>
      <c r="P122" s="69">
        <f t="shared" si="60"/>
        <v>-81.260555077767862</v>
      </c>
    </row>
    <row r="123" spans="1:17" ht="15.75" x14ac:dyDescent="0.25">
      <c r="B123" s="64">
        <v>17</v>
      </c>
      <c r="C123" s="434"/>
      <c r="D123" s="71">
        <f>'Enterprise Budget'!$V$43</f>
        <v>817.77777777777783</v>
      </c>
      <c r="E123" s="71">
        <f>'Enterprise Budget'!$V$31</f>
        <v>916.91415999999992</v>
      </c>
      <c r="F123" s="65">
        <f t="shared" si="53"/>
        <v>-99.136382222222096</v>
      </c>
      <c r="G123" s="72">
        <f t="shared" si="54"/>
        <v>0.31657439046411018</v>
      </c>
      <c r="H123" s="69">
        <f t="shared" si="55"/>
        <v>-31.384039774817008</v>
      </c>
      <c r="I123" s="6"/>
      <c r="J123" s="64">
        <v>17</v>
      </c>
      <c r="K123" s="436"/>
      <c r="L123" s="66">
        <f t="shared" si="56"/>
        <v>768.71111111111111</v>
      </c>
      <c r="M123" s="73">
        <f t="shared" si="57"/>
        <v>1008.605576</v>
      </c>
      <c r="N123" s="65">
        <f t="shared" si="58"/>
        <v>-239.89446488888893</v>
      </c>
      <c r="O123" s="72">
        <f t="shared" si="59"/>
        <v>0.31657439046411018</v>
      </c>
      <c r="P123" s="69">
        <f t="shared" si="60"/>
        <v>-75.944443997913893</v>
      </c>
    </row>
    <row r="124" spans="1:17" ht="15.75" x14ac:dyDescent="0.25">
      <c r="B124" s="64">
        <v>18</v>
      </c>
      <c r="C124" s="434"/>
      <c r="D124" s="71">
        <f>'Enterprise Budget'!$V$43</f>
        <v>817.77777777777783</v>
      </c>
      <c r="E124" s="71">
        <f>'Enterprise Budget'!$V$31</f>
        <v>916.91415999999992</v>
      </c>
      <c r="F124" s="65">
        <f t="shared" si="53"/>
        <v>-99.136382222222096</v>
      </c>
      <c r="G124" s="72">
        <f t="shared" si="54"/>
        <v>0.29586391632159825</v>
      </c>
      <c r="H124" s="69">
        <f t="shared" si="55"/>
        <v>-29.330878294221499</v>
      </c>
      <c r="I124" s="6"/>
      <c r="J124" s="64">
        <v>18</v>
      </c>
      <c r="K124" s="436"/>
      <c r="L124" s="66">
        <f t="shared" si="56"/>
        <v>768.71111111111111</v>
      </c>
      <c r="M124" s="73">
        <f t="shared" si="57"/>
        <v>1008.605576</v>
      </c>
      <c r="N124" s="65">
        <f t="shared" si="58"/>
        <v>-239.89446488888893</v>
      </c>
      <c r="O124" s="72">
        <f t="shared" si="59"/>
        <v>0.29586391632159825</v>
      </c>
      <c r="P124" s="69">
        <f t="shared" si="60"/>
        <v>-70.976115885900825</v>
      </c>
    </row>
    <row r="125" spans="1:17" ht="16.5" thickBot="1" x14ac:dyDescent="0.3">
      <c r="B125" s="468" t="s">
        <v>15</v>
      </c>
      <c r="C125" s="469"/>
      <c r="D125" s="469"/>
      <c r="E125" s="469"/>
      <c r="F125" s="469"/>
      <c r="G125" s="469"/>
      <c r="H125" s="74">
        <f>SUM(H106:H124)</f>
        <v>-5051.4966846857214</v>
      </c>
      <c r="I125" s="6"/>
      <c r="J125" s="461" t="s">
        <v>15</v>
      </c>
      <c r="K125" s="462"/>
      <c r="L125" s="462"/>
      <c r="M125" s="462"/>
      <c r="N125" s="462"/>
      <c r="O125" s="463"/>
      <c r="P125" s="74">
        <f>SUM(P106:P124)</f>
        <v>-6467.3944714712579</v>
      </c>
    </row>
    <row r="126" spans="1:17" x14ac:dyDescent="0.25">
      <c r="A126" s="6"/>
      <c r="B126" s="6"/>
      <c r="C126" s="6"/>
      <c r="D126" s="6"/>
      <c r="E126" s="6"/>
      <c r="F126" s="6"/>
      <c r="G126" s="6"/>
      <c r="H126" s="6"/>
      <c r="I126" s="6"/>
      <c r="J126" s="6"/>
      <c r="K126" s="6"/>
      <c r="L126" s="6"/>
      <c r="M126" s="6"/>
      <c r="N126" s="6"/>
      <c r="O126" s="6"/>
      <c r="P126" s="6"/>
      <c r="Q126" s="6"/>
    </row>
  </sheetData>
  <mergeCells count="24">
    <mergeCell ref="B125:G125"/>
    <mergeCell ref="J125:O125"/>
    <mergeCell ref="J100:P100"/>
    <mergeCell ref="B100:H100"/>
    <mergeCell ref="M41:O41"/>
    <mergeCell ref="M42:O42"/>
    <mergeCell ref="B65:G65"/>
    <mergeCell ref="J65:O65"/>
    <mergeCell ref="M71:O71"/>
    <mergeCell ref="J70:P70"/>
    <mergeCell ref="B70:H70"/>
    <mergeCell ref="M72:O72"/>
    <mergeCell ref="B95:G95"/>
    <mergeCell ref="J95:O95"/>
    <mergeCell ref="M101:O101"/>
    <mergeCell ref="M102:O102"/>
    <mergeCell ref="J10:P10"/>
    <mergeCell ref="B10:H10"/>
    <mergeCell ref="B40:H40"/>
    <mergeCell ref="J40:P40"/>
    <mergeCell ref="J35:O35"/>
    <mergeCell ref="M11:O11"/>
    <mergeCell ref="M12:O12"/>
    <mergeCell ref="B35:G35"/>
  </mergeCells>
  <pageMargins left="0.7" right="0.7" top="0.75" bottom="0.75" header="0.3" footer="0.3"/>
  <pageSetup scale="45"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9872D419-998E-4D5B-8B18-D55E8A4F7489}">
            <xm:f>NOT(ISERROR(SEARCH(Notes!$B$8,C8)))</xm:f>
            <xm:f>Notes!$B$8</xm:f>
            <x14:dxf>
              <fill>
                <patternFill>
                  <bgColor theme="9" tint="0.59996337778862885"/>
                </patternFill>
              </fill>
            </x14:dxf>
          </x14:cfRule>
          <x14:cfRule type="containsText" priority="2" operator="containsText" id="{3B3932B8-7B31-4A53-9AD7-49B63D4C3125}">
            <xm:f>NOT(ISERROR(SEARCH(Notes!$B$7,C8)))</xm:f>
            <xm:f>Notes!$B$7</xm:f>
            <x14:dxf>
              <fill>
                <patternFill>
                  <bgColor theme="6" tint="0.59996337778862885"/>
                </patternFill>
              </fill>
            </x14:dxf>
          </x14:cfRule>
          <xm:sqref>C8 C38 C68 C98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H24"/>
  <sheetViews>
    <sheetView workbookViewId="0"/>
  </sheetViews>
  <sheetFormatPr defaultColWidth="8.7109375" defaultRowHeight="15" x14ac:dyDescent="0.25"/>
  <cols>
    <col min="2" max="2" width="15.7109375" style="124" bestFit="1" customWidth="1"/>
    <col min="3" max="3" width="9.140625" style="112" bestFit="1" customWidth="1"/>
    <col min="6" max="6" width="15.7109375" style="112" bestFit="1" customWidth="1"/>
  </cols>
  <sheetData>
    <row r="2" spans="2:8" x14ac:dyDescent="0.25">
      <c r="B2" s="3" t="s">
        <v>69</v>
      </c>
      <c r="C2" s="158"/>
      <c r="D2" s="2"/>
      <c r="F2" s="113" t="s">
        <v>51</v>
      </c>
    </row>
    <row r="3" spans="2:8" x14ac:dyDescent="0.25">
      <c r="B3" s="159" t="s">
        <v>157</v>
      </c>
      <c r="C3" s="158"/>
      <c r="D3" s="2"/>
      <c r="F3" s="114">
        <v>0.25</v>
      </c>
    </row>
    <row r="4" spans="2:8" x14ac:dyDescent="0.25">
      <c r="B4" s="4" t="s">
        <v>68</v>
      </c>
      <c r="C4" s="158"/>
      <c r="D4" s="2"/>
      <c r="F4" s="114">
        <v>0.3</v>
      </c>
    </row>
    <row r="5" spans="2:8" x14ac:dyDescent="0.25">
      <c r="C5" s="118"/>
      <c r="D5" s="2"/>
      <c r="F5" s="114">
        <v>0.35</v>
      </c>
    </row>
    <row r="6" spans="2:8" x14ac:dyDescent="0.25">
      <c r="C6" s="118"/>
      <c r="D6" s="2"/>
      <c r="F6" s="114">
        <v>0.4</v>
      </c>
    </row>
    <row r="7" spans="2:8" ht="14.65" customHeight="1" x14ac:dyDescent="0.25">
      <c r="B7" s="3" t="s">
        <v>37</v>
      </c>
      <c r="C7" s="118"/>
      <c r="D7" s="2"/>
      <c r="F7" s="114">
        <v>0.45</v>
      </c>
    </row>
    <row r="8" spans="2:8" ht="14.65" customHeight="1" x14ac:dyDescent="0.25">
      <c r="B8" s="4" t="s">
        <v>50</v>
      </c>
      <c r="C8" s="118"/>
      <c r="D8" s="2"/>
      <c r="F8" s="114">
        <v>0.5</v>
      </c>
    </row>
    <row r="9" spans="2:8" ht="14.65" customHeight="1" x14ac:dyDescent="0.25">
      <c r="B9" s="123"/>
      <c r="F9" s="114">
        <v>0.55000000000000004</v>
      </c>
    </row>
    <row r="10" spans="2:8" x14ac:dyDescent="0.25">
      <c r="F10" s="114">
        <v>0.6</v>
      </c>
    </row>
    <row r="11" spans="2:8" ht="15.75" x14ac:dyDescent="0.25">
      <c r="B11" s="472" t="s">
        <v>32</v>
      </c>
      <c r="C11" s="473"/>
      <c r="F11" s="114">
        <v>0.65</v>
      </c>
    </row>
    <row r="12" spans="2:8" ht="15.75" x14ac:dyDescent="0.25">
      <c r="B12" s="125"/>
      <c r="C12" s="119" t="str">
        <f>Input!I11</f>
        <v>Irrigated</v>
      </c>
      <c r="F12" s="114">
        <v>0.7</v>
      </c>
      <c r="H12">
        <v>1</v>
      </c>
    </row>
    <row r="13" spans="2:8" ht="15.75" x14ac:dyDescent="0.25">
      <c r="B13" s="125" t="str">
        <f>B2</f>
        <v>Small Square Bale</v>
      </c>
      <c r="C13" s="120">
        <f>IF($C$12="Irrigated",(Input!J34*Input!P27),IF($C$12="Dry Land",(Input!J34*Input!P37)))</f>
        <v>71.874999999999986</v>
      </c>
      <c r="F13" s="115">
        <v>0.75</v>
      </c>
      <c r="H13">
        <v>2</v>
      </c>
    </row>
    <row r="14" spans="2:8" ht="15.75" x14ac:dyDescent="0.25">
      <c r="B14" s="125" t="str">
        <f>B3</f>
        <v>Big Square Bale</v>
      </c>
      <c r="C14" s="120">
        <f>IF($C$12="Irrigated",(Input!J35*Input!P28),IF($C$12="Dry Land",(Input!J35*Input!P38)))</f>
        <v>46</v>
      </c>
      <c r="H14">
        <v>3</v>
      </c>
    </row>
    <row r="15" spans="2:8" ht="15.75" x14ac:dyDescent="0.25">
      <c r="B15" s="130" t="str">
        <f>B4</f>
        <v>Round Bale</v>
      </c>
      <c r="C15" s="121">
        <f>IF($C$12="Irrigated",(Input!J36*Input!P29),IF($C$12="Dry Land",(Input!J36*Input!P39)))</f>
        <v>36.799999999999997</v>
      </c>
    </row>
    <row r="16" spans="2:8" ht="15.75" x14ac:dyDescent="0.25">
      <c r="B16" s="126"/>
      <c r="C16" s="1"/>
      <c r="F16" s="113" t="s">
        <v>93</v>
      </c>
    </row>
    <row r="17" spans="2:6" ht="15.75" x14ac:dyDescent="0.25">
      <c r="B17" s="127"/>
      <c r="C17" s="122"/>
      <c r="F17" s="116">
        <v>1.9E-2</v>
      </c>
    </row>
    <row r="18" spans="2:6" ht="15.75" x14ac:dyDescent="0.25">
      <c r="B18" s="470" t="s">
        <v>70</v>
      </c>
      <c r="C18" s="471"/>
      <c r="F18" s="116">
        <v>0.02</v>
      </c>
    </row>
    <row r="19" spans="2:6" ht="15.75" x14ac:dyDescent="0.25">
      <c r="B19" s="128"/>
      <c r="C19" s="119" t="str">
        <f>Input!I11</f>
        <v>Irrigated</v>
      </c>
      <c r="F19" s="116">
        <v>2.1000000000000001E-2</v>
      </c>
    </row>
    <row r="20" spans="2:6" ht="15.75" x14ac:dyDescent="0.25">
      <c r="B20" s="129" t="str">
        <f>B2</f>
        <v>Small Square Bale</v>
      </c>
      <c r="C20" s="120">
        <f>IF($C$19="Irrigated",(Input!J38*Input!P27),IF($C$19="Dry Land",(Input!J38*Input!P37)))</f>
        <v>46</v>
      </c>
      <c r="F20" s="116">
        <v>2.1999999999999999E-2</v>
      </c>
    </row>
    <row r="21" spans="2:6" ht="15.75" x14ac:dyDescent="0.25">
      <c r="B21" s="129" t="str">
        <f>B3</f>
        <v>Big Square Bale</v>
      </c>
      <c r="C21" s="120">
        <f>IF($C$19="Irrigated",(Input!J39*Input!P28),IF($C$19="Dry Land",(Input!J39*Input!P38)))</f>
        <v>30.666666666666664</v>
      </c>
      <c r="F21" s="116">
        <v>2.3E-2</v>
      </c>
    </row>
    <row r="22" spans="2:6" ht="15.75" x14ac:dyDescent="0.25">
      <c r="B22" s="131" t="str">
        <f>B4</f>
        <v>Round Bale</v>
      </c>
      <c r="C22" s="121">
        <f>IF($C$19="Irrigated",(Input!J40*Input!P29),IF($C$19="Dry Land",(Input!J40*Input!P39)))</f>
        <v>46</v>
      </c>
      <c r="F22" s="116">
        <v>2.4E-2</v>
      </c>
    </row>
    <row r="23" spans="2:6" x14ac:dyDescent="0.25">
      <c r="F23" s="116">
        <v>2.5000000000000001E-2</v>
      </c>
    </row>
    <row r="24" spans="2:6" x14ac:dyDescent="0.25">
      <c r="F24" s="117">
        <v>2.5999999999999999E-2</v>
      </c>
    </row>
  </sheetData>
  <mergeCells count="2">
    <mergeCell ref="B18:C18"/>
    <mergeCell ref="B11:C11"/>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596CCDA9-C1D8-4E03-BFD0-725E43B4DD8C}">
            <xm:f>NOT(ISERROR(SEARCH($B$7,C12)))</xm:f>
            <xm:f>$B$7</xm:f>
            <x14:dxf>
              <fill>
                <patternFill>
                  <bgColor theme="6" tint="0.59996337778862885"/>
                </patternFill>
              </fill>
            </x14:dxf>
          </x14:cfRule>
          <x14:cfRule type="containsText" priority="2" operator="containsText" id="{4B0DB435-733A-40CC-9A25-81FF96495C1F}">
            <xm:f>NOT(ISERROR(SEARCH($B$8,C12)))</xm:f>
            <xm:f>$B$8</xm:f>
            <x14:dxf>
              <fill>
                <patternFill>
                  <bgColor theme="9" tint="0.59996337778862885"/>
                </patternFill>
              </fill>
            </x14:dxf>
          </x14:cfRule>
          <xm:sqref>C19 C12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Welcome</vt:lpstr>
      <vt:lpstr>Input</vt:lpstr>
      <vt:lpstr>Start-Up Costs</vt:lpstr>
      <vt:lpstr>Enterprise Budget</vt:lpstr>
      <vt:lpstr>Net Present Value</vt:lpstr>
      <vt:lpstr>Notes</vt:lpstr>
      <vt:lpstr>Bale_Types</vt:lpstr>
      <vt:lpstr>Cuttings</vt:lpstr>
      <vt:lpstr>Dry_Matter_Intake</vt:lpstr>
      <vt:lpstr>Harvest_Efficiency</vt:lpstr>
      <vt:lpstr>Irrigated</vt:lpstr>
      <vt:lpstr>'Enterprise Budget'!Print_Area</vt:lpstr>
      <vt:lpstr>Input!Print_Area</vt:lpstr>
      <vt:lpstr>'Net Present Value'!Print_Area</vt:lpstr>
      <vt:lpstr>'Start-Up Costs'!Print_Area</vt:lpstr>
      <vt:lpstr>Welcome!Print_Area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dc:creator>
  <cp:lastModifiedBy>Kellie Clark</cp:lastModifiedBy>
  <cp:lastPrinted>2015-09-23T17:39:38Z</cp:lastPrinted>
  <dcterms:created xsi:type="dcterms:W3CDTF">2013-05-29T21:31:53Z</dcterms:created>
  <dcterms:modified xsi:type="dcterms:W3CDTF">2016-02-10T21:37:59Z</dcterms:modified>
</cp:coreProperties>
</file>