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785" windowWidth="13230" windowHeight="6795" tabRatio="644" activeTab="0"/>
  </bookViews>
  <sheets>
    <sheet name="Welcome" sheetId="1" r:id="rId1"/>
    <sheet name="Cow Investment" sheetId="2" r:id="rId2"/>
    <sheet name="Cow Carrying Costs" sheetId="3" r:id="rId3"/>
  </sheets>
  <definedNames>
    <definedName name="Print_Area_MI" localSheetId="1">#REF!</definedName>
    <definedName name="Print_Area_MI">#REF!</definedName>
  </definedNames>
  <calcPr fullCalcOnLoad="1"/>
</workbook>
</file>

<file path=xl/comments2.xml><?xml version="1.0" encoding="utf-8"?>
<comments xmlns="http://schemas.openxmlformats.org/spreadsheetml/2006/main">
  <authors>
    <author>jeffrey.tranel</author>
  </authors>
  <commentList>
    <comment ref="J31" authorId="0">
      <text>
        <r>
          <rPr>
            <sz val="8"/>
            <rFont val="Tahoma"/>
            <family val="2"/>
          </rPr>
          <t>Press [page down] to see net returns for each year.</t>
        </r>
      </text>
    </comment>
  </commentList>
</comments>
</file>

<file path=xl/comments3.xml><?xml version="1.0" encoding="utf-8"?>
<comments xmlns="http://schemas.openxmlformats.org/spreadsheetml/2006/main">
  <authors>
    <author>CSUEXT</author>
  </authors>
  <commentList>
    <comment ref="G100" authorId="0">
      <text>
        <r>
          <rPr>
            <sz val="10"/>
            <rFont val="Tahoma"/>
            <family val="2"/>
          </rPr>
          <t>Operating interest costs are typically calculated using total expenses divided by one-half (1/2) the year.</t>
        </r>
      </text>
    </comment>
  </commentList>
</comments>
</file>

<file path=xl/sharedStrings.xml><?xml version="1.0" encoding="utf-8"?>
<sst xmlns="http://schemas.openxmlformats.org/spreadsheetml/2006/main" count="263" uniqueCount="171">
  <si>
    <t>head</t>
  </si>
  <si>
    <t>Cows</t>
  </si>
  <si>
    <t>What Are Your "Cow Carrying Costs?"</t>
  </si>
  <si>
    <t>Cow-Calf Enterprise Budget</t>
  </si>
  <si>
    <t>Herd Size:</t>
  </si>
  <si>
    <t>Annual Operating Costs:</t>
  </si>
  <si>
    <t>Per Cow</t>
  </si>
  <si>
    <t>Per Herd</t>
  </si>
  <si>
    <t>Purchased Feed</t>
  </si>
  <si>
    <t>Lbs Per Day</t>
  </si>
  <si>
    <t xml:space="preserve">Price </t>
  </si>
  <si>
    <t>Cost</t>
  </si>
  <si>
    <t>Description</t>
  </si>
  <si>
    <t>Unit</t>
  </si>
  <si>
    <t xml:space="preserve">Days </t>
  </si>
  <si>
    <t xml:space="preserve"> Per Unit </t>
  </si>
  <si>
    <t xml:space="preserve">Per Cow </t>
  </si>
  <si>
    <t xml:space="preserve">Per Herd </t>
  </si>
  <si>
    <t>Alfalfa Hay</t>
  </si>
  <si>
    <t>tons</t>
  </si>
  <si>
    <t>Grass Hay</t>
  </si>
  <si>
    <t>Other Roughages</t>
  </si>
  <si>
    <t>Grain/Concentrates</t>
  </si>
  <si>
    <t>lbs</t>
  </si>
  <si>
    <t>Protein Supplements</t>
  </si>
  <si>
    <t>Salt/Mineral</t>
  </si>
  <si>
    <t>Other Livestock Feed</t>
  </si>
  <si>
    <t>Subtotal of Livestock Feed</t>
  </si>
  <si>
    <t>Land Expenses</t>
  </si>
  <si>
    <t>Fert. &amp; Chem.</t>
  </si>
  <si>
    <t>acre</t>
  </si>
  <si>
    <t>Rents and Leases</t>
  </si>
  <si>
    <t>aum</t>
  </si>
  <si>
    <t>Irrigation Supplies</t>
  </si>
  <si>
    <t>??</t>
  </si>
  <si>
    <t>M&amp;R Land and Bldgs.</t>
  </si>
  <si>
    <t>dollars</t>
  </si>
  <si>
    <t>Insur. (Bld, Mach., Lvst.)</t>
  </si>
  <si>
    <t>Other Land</t>
  </si>
  <si>
    <t>Livestock Medical &amp; Breeding</t>
  </si>
  <si>
    <t xml:space="preserve">Per Unit </t>
  </si>
  <si>
    <t>Calf Vaccines</t>
  </si>
  <si>
    <t>each</t>
  </si>
  <si>
    <t>Breeding Vaccines</t>
  </si>
  <si>
    <t>Other Vaccines</t>
  </si>
  <si>
    <t>Pregnancy Test</t>
  </si>
  <si>
    <t>cow</t>
  </si>
  <si>
    <t>Bull Fertility Test</t>
  </si>
  <si>
    <t>bull</t>
  </si>
  <si>
    <t>Misc Medicine</t>
  </si>
  <si>
    <t>Medical Supplies</t>
  </si>
  <si>
    <t>Other Medical</t>
  </si>
  <si>
    <t>Subtotal of Livestock Medical and Breeding</t>
  </si>
  <si>
    <t>Livestock Supplies</t>
  </si>
  <si>
    <t>Feeding Supplies</t>
  </si>
  <si>
    <t>Tack</t>
  </si>
  <si>
    <t>Ear Tags</t>
  </si>
  <si>
    <t>Other Supplies</t>
  </si>
  <si>
    <t>Subtotal of Livestock Supplies</t>
  </si>
  <si>
    <t>Marketing</t>
  </si>
  <si>
    <t>Freight and Trucking</t>
  </si>
  <si>
    <t>mile</t>
  </si>
  <si>
    <t>Selling Comm/Yardage</t>
  </si>
  <si>
    <t>Brand Inspection</t>
  </si>
  <si>
    <t>Health Inspection</t>
  </si>
  <si>
    <t>Lodging/Meals Etc.</t>
  </si>
  <si>
    <t>Hedging Expense</t>
  </si>
  <si>
    <t>Other Marketing</t>
  </si>
  <si>
    <t>Subtotal of Marketing</t>
  </si>
  <si>
    <t>Machinery &amp; Equipment</t>
  </si>
  <si>
    <t>Fuel and Lubrication</t>
  </si>
  <si>
    <t>Maint. and Repairs</t>
  </si>
  <si>
    <t>Equipment Leases</t>
  </si>
  <si>
    <t>Machine Hire</t>
  </si>
  <si>
    <t>Other Mach.&amp; Equip.</t>
  </si>
  <si>
    <t>Labor</t>
  </si>
  <si>
    <t>Wages</t>
  </si>
  <si>
    <t>FICA</t>
  </si>
  <si>
    <t>Contract Labor</t>
  </si>
  <si>
    <t>Professional Fees</t>
  </si>
  <si>
    <t>fees</t>
  </si>
  <si>
    <t>Workman's Comp</t>
  </si>
  <si>
    <t>Other Labor</t>
  </si>
  <si>
    <t>Assumptions</t>
  </si>
  <si>
    <t>Outlook of Annual Calf Prices</t>
  </si>
  <si>
    <t>Number of Cows (hd)</t>
  </si>
  <si>
    <t>Avg. Weaning Wt. (lbs) - Steers</t>
  </si>
  <si>
    <t>Steers</t>
  </si>
  <si>
    <t>Heifers</t>
  </si>
  <si>
    <t>Conception Rate (%)</t>
  </si>
  <si>
    <t>Avg. Weaning Wt. (lbs) - Heifers</t>
  </si>
  <si>
    <t>Weaning Rate (%)</t>
  </si>
  <si>
    <t>Yearling Heifer Wt. (lbs)</t>
  </si>
  <si>
    <t>Heifer Retention Rate (%)</t>
  </si>
  <si>
    <t>Actual Weaning Rate (%)</t>
  </si>
  <si>
    <t>Cow Replacement Rate (%)</t>
  </si>
  <si>
    <t>Steers Weaned (hd)</t>
  </si>
  <si>
    <t>Cow Salvage Value ($/cow)</t>
  </si>
  <si>
    <t>Heifers Weaned (hd)</t>
  </si>
  <si>
    <t>Annual Cow Costs ($/cow)</t>
  </si>
  <si>
    <t>Heifers Retained (hd)</t>
  </si>
  <si>
    <t>Return on Investment (%)</t>
  </si>
  <si>
    <t>Cows Replaced(hd)</t>
  </si>
  <si>
    <t>Revenues - Expenses = Net Returns</t>
  </si>
  <si>
    <t>Market</t>
  </si>
  <si>
    <t>Average</t>
  </si>
  <si>
    <t>Value</t>
  </si>
  <si>
    <t>Head</t>
  </si>
  <si>
    <t>Price</t>
  </si>
  <si>
    <t>Weight</t>
  </si>
  <si>
    <t xml:space="preserve">Total  </t>
  </si>
  <si>
    <t xml:space="preserve">Per Cow  </t>
  </si>
  <si>
    <t>How Much Can You Afford To Pay?</t>
  </si>
  <si>
    <t xml:space="preserve">  8-Year Productive Life</t>
  </si>
  <si>
    <t>Yrlg Hfrs</t>
  </si>
  <si>
    <t>Other</t>
  </si>
  <si>
    <t xml:space="preserve">  5-Year Productive Life</t>
  </si>
  <si>
    <t>$ / Cow</t>
  </si>
  <si>
    <t xml:space="preserve">Total Cost  </t>
  </si>
  <si>
    <t xml:space="preserve">  3-Year Productive Life</t>
  </si>
  <si>
    <t>Net Returns are used to pay operator labor (family living), debt payments, income taxes, etc.</t>
  </si>
  <si>
    <t>pct</t>
  </si>
  <si>
    <t>Operating Interest</t>
  </si>
  <si>
    <t>Other Interest</t>
  </si>
  <si>
    <t>Interest</t>
  </si>
  <si>
    <t xml:space="preserve">Quantity </t>
  </si>
  <si>
    <t>Dollars</t>
  </si>
  <si>
    <t>Term (Years)</t>
  </si>
  <si>
    <t>Rate</t>
  </si>
  <si>
    <t>Adjustment to Annual Cow Costs ($/cow)</t>
  </si>
  <si>
    <t>Subtotal of Labor</t>
  </si>
  <si>
    <t xml:space="preserve">Subtotal of Machinery and Equipment </t>
  </si>
  <si>
    <t xml:space="preserve">Subtotal of Interest </t>
  </si>
  <si>
    <t>Subtotal of Land</t>
  </si>
  <si>
    <t>Net Return</t>
  </si>
  <si>
    <t>Year</t>
  </si>
  <si>
    <t>Average Net Returns:</t>
  </si>
  <si>
    <t>Average Annual Revenues</t>
  </si>
  <si>
    <t>Avg. Ann. Operating Exp.</t>
  </si>
  <si>
    <t xml:space="preserve">Year 1:  </t>
  </si>
  <si>
    <t xml:space="preserve">Year 2:  </t>
  </si>
  <si>
    <t xml:space="preserve">Year 3:  </t>
  </si>
  <si>
    <t xml:space="preserve">Year 4:  </t>
  </si>
  <si>
    <t xml:space="preserve">Year 5:  </t>
  </si>
  <si>
    <t xml:space="preserve">Year 6:  </t>
  </si>
  <si>
    <t xml:space="preserve">Year 7:  </t>
  </si>
  <si>
    <t xml:space="preserve">Year 8:  </t>
  </si>
  <si>
    <t>Jeffrey E. Tranel</t>
  </si>
  <si>
    <t xml:space="preserve">Extension </t>
  </si>
  <si>
    <t>jtranel@colostate.edu</t>
  </si>
  <si>
    <t>Dept. of Agricultural</t>
  </si>
  <si>
    <t>&amp; Resource Economics</t>
  </si>
  <si>
    <t>What Can You Afford to Pay For A Cow?</t>
  </si>
  <si>
    <t>719.545.1845</t>
  </si>
  <si>
    <t xml:space="preserve">aid is designed to help beef cattle producers determine "what they can afford to pay for a breeding female." </t>
  </si>
  <si>
    <t>A critical factor in the profitability of a beef cattle enterprise is the price paid for the breeding female.  This decision</t>
  </si>
  <si>
    <t>There are two worksheets in which data can be entered. The first - "Cow Investment" - is where market prices for an</t>
  </si>
  <si>
    <t>Data may be entered into any cell having a pale yellow background and blue colored font.</t>
  </si>
  <si>
    <t>cell. A positive number adjusts the annual cow costs up, while a negative number decreases annual cow costs.</t>
  </si>
  <si>
    <t>to annual cow costs can be made on the "cow investment" form by entering an adjustment factor into the approriate</t>
  </si>
  <si>
    <t>production on a per cow basis (annual cow costs) from the second worksheet - "Cow Carrying Costs". Adjustments</t>
  </si>
  <si>
    <t>eight (8) year period is projected, and production information is entered.  This form uses the annual costs of</t>
  </si>
  <si>
    <t xml:space="preserve"> information available from your tax professional, banker, and other persons knowledgeable of your business.</t>
  </si>
  <si>
    <t>The information presented in this decision aid serves only as a guide. It does not replace  the knowledge and</t>
  </si>
  <si>
    <t xml:space="preserve">    Authors</t>
  </si>
  <si>
    <t xml:space="preserve">  Rod Sharp</t>
  </si>
  <si>
    <t xml:space="preserve">  970.245.9149</t>
  </si>
  <si>
    <t>A Decision Aid for Cattle Producers          v2.0</t>
  </si>
  <si>
    <t xml:space="preserve">  Rod.Sharp@ColoState.edu</t>
  </si>
  <si>
    <t>Data</t>
  </si>
  <si>
    <t>How Much Can You Afford to Pay for a Cow?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</si>
</sst>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;;;"/>
    <numFmt numFmtId="167" formatCode="_(* #,##0_);_(* \(#,##0\);_(* &quot;-&quot;??_);_(@_)"/>
    <numFmt numFmtId="168" formatCode="0.00_)"/>
    <numFmt numFmtId="169" formatCode="0_)"/>
    <numFmt numFmtId="170" formatCode="_(&quot;$&quot;* #,##0_);_(&quot;$&quot;* \(#,##0\);_(&quot;$&quot;* &quot;-&quot;??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b/>
      <sz val="16"/>
      <color indexed="17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8"/>
      <name val="Tahoma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b/>
      <sz val="13"/>
      <name val="Calibri"/>
      <family val="2"/>
    </font>
    <font>
      <b/>
      <sz val="13"/>
      <color indexed="9"/>
      <name val="Calibri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6600"/>
      <name val="Arial"/>
      <family val="2"/>
    </font>
    <font>
      <sz val="10"/>
      <color rgb="FF0000FF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3"/>
      <color theme="0"/>
      <name val="Calibri"/>
      <family val="2"/>
    </font>
    <font>
      <b/>
      <sz val="16"/>
      <color rgb="FF006600"/>
      <name val="Arial"/>
      <family val="2"/>
    </font>
    <font>
      <b/>
      <sz val="14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double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56" applyFont="1">
      <alignment/>
      <protection/>
    </xf>
    <xf numFmtId="0" fontId="2" fillId="0" borderId="0" xfId="56">
      <alignment/>
      <protection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66" fontId="0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6" fillId="0" borderId="0" xfId="44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0" fillId="0" borderId="0" xfId="52" applyFont="1" applyBorder="1" applyAlignment="1" applyProtection="1">
      <alignment horizontal="right"/>
      <protection/>
    </xf>
    <xf numFmtId="0" fontId="0" fillId="0" borderId="0" xfId="52" applyFont="1" applyBorder="1" applyAlignment="1" applyProtection="1">
      <alignment/>
      <protection/>
    </xf>
    <xf numFmtId="0" fontId="13" fillId="0" borderId="0" xfId="52" applyBorder="1" applyAlignment="1" applyProtection="1">
      <alignment/>
      <protection/>
    </xf>
    <xf numFmtId="0" fontId="63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4" fillId="32" borderId="19" xfId="0" applyFont="1" applyFill="1" applyBorder="1" applyAlignment="1">
      <alignment/>
    </xf>
    <xf numFmtId="0" fontId="65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 applyProtection="1">
      <alignment horizontal="center"/>
      <protection/>
    </xf>
    <xf numFmtId="165" fontId="18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18" fillId="0" borderId="0" xfId="0" applyFont="1" applyBorder="1" applyAlignment="1" applyProtection="1">
      <alignment horizontal="center"/>
      <protection/>
    </xf>
    <xf numFmtId="1" fontId="19" fillId="32" borderId="19" xfId="0" applyNumberFormat="1" applyFont="1" applyFill="1" applyBorder="1" applyAlignment="1" applyProtection="1">
      <alignment horizontal="center"/>
      <protection locked="0"/>
    </xf>
    <xf numFmtId="0" fontId="19" fillId="32" borderId="19" xfId="0" applyFont="1" applyFill="1" applyBorder="1" applyAlignment="1" applyProtection="1">
      <alignment horizontal="center"/>
      <protection locked="0"/>
    </xf>
    <xf numFmtId="165" fontId="19" fillId="32" borderId="19" xfId="0" applyNumberFormat="1" applyFont="1" applyFill="1" applyBorder="1" applyAlignment="1" applyProtection="1">
      <alignment horizontal="center"/>
      <protection locked="0"/>
    </xf>
    <xf numFmtId="164" fontId="19" fillId="32" borderId="19" xfId="0" applyNumberFormat="1" applyFont="1" applyFill="1" applyBorder="1" applyAlignment="1" applyProtection="1">
      <alignment horizontal="center"/>
      <protection locked="0"/>
    </xf>
    <xf numFmtId="2" fontId="18" fillId="0" borderId="0" xfId="0" applyNumberFormat="1" applyFont="1" applyBorder="1" applyAlignment="1" applyProtection="1">
      <alignment horizontal="center"/>
      <protection/>
    </xf>
    <xf numFmtId="0" fontId="66" fillId="34" borderId="14" xfId="0" applyFont="1" applyFill="1" applyBorder="1" applyAlignment="1">
      <alignment/>
    </xf>
    <xf numFmtId="0" fontId="66" fillId="34" borderId="16" xfId="0" applyFont="1" applyFill="1" applyBorder="1" applyAlignment="1">
      <alignment/>
    </xf>
    <xf numFmtId="0" fontId="67" fillId="34" borderId="18" xfId="0" applyFont="1" applyFill="1" applyBorder="1" applyAlignment="1">
      <alignment/>
    </xf>
    <xf numFmtId="0" fontId="26" fillId="0" borderId="10" xfId="56" applyFont="1" applyBorder="1" applyAlignment="1" applyProtection="1">
      <alignment horizontal="right"/>
      <protection/>
    </xf>
    <xf numFmtId="0" fontId="26" fillId="0" borderId="20" xfId="56" applyFont="1" applyBorder="1" applyAlignment="1" applyProtection="1">
      <alignment horizontal="left"/>
      <protection/>
    </xf>
    <xf numFmtId="0" fontId="26" fillId="0" borderId="12" xfId="56" applyFont="1" applyBorder="1" applyAlignment="1" applyProtection="1">
      <alignment horizontal="left"/>
      <protection/>
    </xf>
    <xf numFmtId="0" fontId="26" fillId="0" borderId="20" xfId="56" applyFont="1" applyBorder="1" applyAlignment="1" applyProtection="1">
      <alignment horizontal="right"/>
      <protection/>
    </xf>
    <xf numFmtId="0" fontId="26" fillId="0" borderId="0" xfId="56" applyFont="1" applyBorder="1" applyAlignment="1" applyProtection="1">
      <alignment horizontal="left"/>
      <protection/>
    </xf>
    <xf numFmtId="0" fontId="26" fillId="0" borderId="0" xfId="56" applyFont="1" applyBorder="1" applyAlignment="1" applyProtection="1">
      <alignment horizontal="right"/>
      <protection/>
    </xf>
    <xf numFmtId="0" fontId="26" fillId="0" borderId="21" xfId="56" applyFont="1" applyBorder="1" applyAlignment="1" applyProtection="1">
      <alignment horizontal="left"/>
      <protection/>
    </xf>
    <xf numFmtId="0" fontId="26" fillId="0" borderId="11" xfId="56" applyFont="1" applyBorder="1" applyAlignment="1" applyProtection="1">
      <alignment horizontal="left"/>
      <protection/>
    </xf>
    <xf numFmtId="0" fontId="26" fillId="0" borderId="11" xfId="56" applyFont="1" applyBorder="1" applyAlignment="1" applyProtection="1">
      <alignment horizontal="center"/>
      <protection/>
    </xf>
    <xf numFmtId="0" fontId="26" fillId="0" borderId="20" xfId="56" applyFont="1" applyBorder="1" applyAlignment="1" applyProtection="1">
      <alignment horizontal="center"/>
      <protection/>
    </xf>
    <xf numFmtId="38" fontId="26" fillId="0" borderId="0" xfId="56" applyNumberFormat="1" applyFont="1" applyBorder="1" applyProtection="1">
      <alignment/>
      <protection/>
    </xf>
    <xf numFmtId="0" fontId="16" fillId="0" borderId="11" xfId="56" applyFont="1" applyBorder="1" applyAlignment="1" applyProtection="1">
      <alignment horizontal="left"/>
      <protection/>
    </xf>
    <xf numFmtId="44" fontId="26" fillId="0" borderId="11" xfId="44" applyNumberFormat="1" applyFont="1" applyBorder="1" applyAlignment="1" applyProtection="1">
      <alignment/>
      <protection/>
    </xf>
    <xf numFmtId="42" fontId="26" fillId="0" borderId="11" xfId="44" applyNumberFormat="1" applyFont="1" applyBorder="1" applyAlignment="1" applyProtection="1">
      <alignment/>
      <protection/>
    </xf>
    <xf numFmtId="0" fontId="26" fillId="0" borderId="10" xfId="56" applyFont="1" applyBorder="1" applyProtection="1">
      <alignment/>
      <protection/>
    </xf>
    <xf numFmtId="0" fontId="26" fillId="0" borderId="14" xfId="56" applyFont="1" applyBorder="1" applyProtection="1">
      <alignment/>
      <protection/>
    </xf>
    <xf numFmtId="0" fontId="26" fillId="0" borderId="11" xfId="56" applyFont="1" applyBorder="1" applyProtection="1">
      <alignment/>
      <protection/>
    </xf>
    <xf numFmtId="44" fontId="26" fillId="0" borderId="11" xfId="56" applyNumberFormat="1" applyFont="1" applyBorder="1" applyProtection="1">
      <alignment/>
      <protection/>
    </xf>
    <xf numFmtId="42" fontId="26" fillId="0" borderId="11" xfId="56" applyNumberFormat="1" applyFont="1" applyBorder="1" applyProtection="1">
      <alignment/>
      <protection/>
    </xf>
    <xf numFmtId="0" fontId="26" fillId="0" borderId="10" xfId="56" applyFont="1" applyBorder="1" applyAlignment="1" applyProtection="1">
      <alignment horizontal="center"/>
      <protection/>
    </xf>
    <xf numFmtId="37" fontId="26" fillId="0" borderId="0" xfId="56" applyNumberFormat="1" applyFont="1" applyBorder="1" applyProtection="1">
      <alignment/>
      <protection/>
    </xf>
    <xf numFmtId="0" fontId="26" fillId="0" borderId="13" xfId="56" applyFont="1" applyBorder="1" applyProtection="1">
      <alignment/>
      <protection/>
    </xf>
    <xf numFmtId="0" fontId="26" fillId="0" borderId="15" xfId="56" applyFont="1" applyBorder="1" applyProtection="1">
      <alignment/>
      <protection/>
    </xf>
    <xf numFmtId="0" fontId="26" fillId="0" borderId="12" xfId="56" applyFont="1" applyBorder="1" applyProtection="1">
      <alignment/>
      <protection/>
    </xf>
    <xf numFmtId="0" fontId="26" fillId="0" borderId="12" xfId="56" applyFont="1" applyBorder="1" applyAlignment="1" applyProtection="1">
      <alignment horizontal="right"/>
      <protection/>
    </xf>
    <xf numFmtId="0" fontId="26" fillId="0" borderId="16" xfId="56" applyFont="1" applyBorder="1" applyProtection="1">
      <alignment/>
      <protection/>
    </xf>
    <xf numFmtId="167" fontId="26" fillId="0" borderId="0" xfId="42" applyNumberFormat="1" applyFont="1" applyFill="1" applyBorder="1" applyAlignment="1" applyProtection="1">
      <alignment/>
      <protection/>
    </xf>
    <xf numFmtId="0" fontId="26" fillId="0" borderId="0" xfId="56" applyFont="1" applyBorder="1" applyProtection="1">
      <alignment/>
      <protection/>
    </xf>
    <xf numFmtId="40" fontId="26" fillId="0" borderId="22" xfId="42" applyNumberFormat="1" applyFont="1" applyBorder="1" applyAlignment="1" applyProtection="1">
      <alignment/>
      <protection/>
    </xf>
    <xf numFmtId="0" fontId="26" fillId="0" borderId="21" xfId="56" applyFont="1" applyBorder="1" applyProtection="1">
      <alignment/>
      <protection/>
    </xf>
    <xf numFmtId="40" fontId="26" fillId="0" borderId="21" xfId="42" applyNumberFormat="1" applyFont="1" applyBorder="1" applyAlignment="1" applyProtection="1">
      <alignment/>
      <protection/>
    </xf>
    <xf numFmtId="0" fontId="26" fillId="0" borderId="17" xfId="56" applyFont="1" applyBorder="1" applyProtection="1">
      <alignment/>
      <protection/>
    </xf>
    <xf numFmtId="0" fontId="26" fillId="0" borderId="18" xfId="56" applyFont="1" applyBorder="1" applyProtection="1">
      <alignment/>
      <protection/>
    </xf>
    <xf numFmtId="40" fontId="28" fillId="32" borderId="19" xfId="42" applyNumberFormat="1" applyFont="1" applyFill="1" applyBorder="1" applyAlignment="1" applyProtection="1">
      <alignment horizontal="right"/>
      <protection locked="0"/>
    </xf>
    <xf numFmtId="38" fontId="28" fillId="32" borderId="19" xfId="56" applyNumberFormat="1" applyFont="1" applyFill="1" applyBorder="1" applyAlignment="1" applyProtection="1">
      <alignment horizontal="right"/>
      <protection locked="0"/>
    </xf>
    <xf numFmtId="0" fontId="26" fillId="0" borderId="0" xfId="56" applyFont="1" applyBorder="1" applyAlignment="1" applyProtection="1">
      <alignment horizontal="center"/>
      <protection/>
    </xf>
    <xf numFmtId="38" fontId="26" fillId="0" borderId="21" xfId="56" applyNumberFormat="1" applyFont="1" applyBorder="1" applyProtection="1">
      <alignment/>
      <protection/>
    </xf>
    <xf numFmtId="37" fontId="26" fillId="0" borderId="21" xfId="56" applyNumberFormat="1" applyFont="1" applyBorder="1" applyProtection="1">
      <alignment/>
      <protection/>
    </xf>
    <xf numFmtId="40" fontId="26" fillId="0" borderId="0" xfId="42" applyNumberFormat="1" applyFont="1" applyBorder="1" applyAlignment="1" applyProtection="1">
      <alignment/>
      <protection/>
    </xf>
    <xf numFmtId="169" fontId="28" fillId="32" borderId="19" xfId="56" applyNumberFormat="1" applyFont="1" applyFill="1" applyBorder="1" applyAlignment="1" applyProtection="1">
      <alignment horizontal="center"/>
      <protection locked="0"/>
    </xf>
    <xf numFmtId="10" fontId="28" fillId="32" borderId="19" xfId="59" applyNumberFormat="1" applyFont="1" applyFill="1" applyBorder="1" applyAlignment="1" applyProtection="1">
      <alignment/>
      <protection locked="0"/>
    </xf>
    <xf numFmtId="168" fontId="28" fillId="32" borderId="19" xfId="56" applyNumberFormat="1" applyFont="1" applyFill="1" applyBorder="1" applyAlignment="1" applyProtection="1">
      <alignment horizontal="center"/>
      <protection locked="0"/>
    </xf>
    <xf numFmtId="38" fontId="28" fillId="32" borderId="19" xfId="56" applyNumberFormat="1" applyFont="1" applyFill="1" applyBorder="1" applyProtection="1">
      <alignment/>
      <protection locked="0"/>
    </xf>
    <xf numFmtId="40" fontId="28" fillId="32" borderId="19" xfId="56" applyNumberFormat="1" applyFont="1" applyFill="1" applyBorder="1" applyProtection="1">
      <alignment/>
      <protection locked="0"/>
    </xf>
    <xf numFmtId="0" fontId="28" fillId="32" borderId="19" xfId="56" applyFont="1" applyFill="1" applyBorder="1" applyAlignment="1" applyProtection="1">
      <alignment horizontal="center"/>
      <protection locked="0"/>
    </xf>
    <xf numFmtId="0" fontId="28" fillId="32" borderId="23" xfId="56" applyFont="1" applyFill="1" applyBorder="1" applyAlignment="1" applyProtection="1">
      <alignment horizontal="center"/>
      <protection locked="0"/>
    </xf>
    <xf numFmtId="38" fontId="28" fillId="32" borderId="19" xfId="42" applyNumberFormat="1" applyFont="1" applyFill="1" applyBorder="1" applyAlignment="1" applyProtection="1">
      <alignment/>
      <protection locked="0"/>
    </xf>
    <xf numFmtId="40" fontId="28" fillId="32" borderId="19" xfId="42" applyNumberFormat="1" applyFont="1" applyFill="1" applyBorder="1" applyAlignment="1" applyProtection="1">
      <alignment/>
      <protection locked="0"/>
    </xf>
    <xf numFmtId="0" fontId="3" fillId="0" borderId="0" xfId="56" applyFont="1" applyProtection="1">
      <alignment/>
      <protection/>
    </xf>
    <xf numFmtId="0" fontId="2" fillId="0" borderId="0" xfId="56" applyProtection="1">
      <alignment/>
      <protection/>
    </xf>
    <xf numFmtId="0" fontId="26" fillId="0" borderId="0" xfId="56" applyFont="1" applyProtection="1">
      <alignment/>
      <protection/>
    </xf>
    <xf numFmtId="44" fontId="29" fillId="0" borderId="24" xfId="56" applyNumberFormat="1" applyFont="1" applyBorder="1" applyAlignment="1" applyProtection="1">
      <alignment horizontal="center" vertical="center"/>
      <protection/>
    </xf>
    <xf numFmtId="170" fontId="29" fillId="0" borderId="24" xfId="56" applyNumberFormat="1" applyFont="1" applyBorder="1" applyAlignment="1" applyProtection="1">
      <alignment horizontal="center" vertical="center"/>
      <protection/>
    </xf>
    <xf numFmtId="0" fontId="26" fillId="0" borderId="0" xfId="56" applyFont="1" applyAlignment="1" applyProtection="1">
      <alignment horizontal="right"/>
      <protection/>
    </xf>
    <xf numFmtId="0" fontId="26" fillId="0" borderId="25" xfId="56" applyFont="1" applyBorder="1" applyAlignment="1" applyProtection="1">
      <alignment horizontal="center"/>
      <protection/>
    </xf>
    <xf numFmtId="0" fontId="27" fillId="0" borderId="0" xfId="56" applyFont="1" applyAlignment="1" applyProtection="1">
      <alignment horizontal="center"/>
      <protection/>
    </xf>
    <xf numFmtId="0" fontId="26" fillId="0" borderId="0" xfId="56" applyFont="1" applyAlignment="1" applyProtection="1">
      <alignment horizontal="left"/>
      <protection/>
    </xf>
    <xf numFmtId="0" fontId="16" fillId="0" borderId="0" xfId="56" applyFont="1" applyProtection="1">
      <alignment/>
      <protection/>
    </xf>
    <xf numFmtId="0" fontId="26" fillId="0" borderId="12" xfId="56" applyFont="1" applyBorder="1" applyAlignment="1" applyProtection="1">
      <alignment horizontal="center"/>
      <protection/>
    </xf>
    <xf numFmtId="167" fontId="26" fillId="0" borderId="12" xfId="42" applyNumberFormat="1" applyFont="1" applyBorder="1" applyAlignment="1" applyProtection="1">
      <alignment horizontal="right"/>
      <protection/>
    </xf>
    <xf numFmtId="167" fontId="26" fillId="0" borderId="0" xfId="42" applyNumberFormat="1" applyFont="1" applyBorder="1" applyAlignment="1" applyProtection="1">
      <alignment horizontal="right"/>
      <protection/>
    </xf>
    <xf numFmtId="38" fontId="26" fillId="0" borderId="0" xfId="42" applyNumberFormat="1" applyFont="1" applyBorder="1" applyAlignment="1" applyProtection="1">
      <alignment/>
      <protection/>
    </xf>
    <xf numFmtId="0" fontId="26" fillId="0" borderId="21" xfId="56" applyFont="1" applyBorder="1" applyAlignment="1" applyProtection="1">
      <alignment horizontal="center"/>
      <protection/>
    </xf>
    <xf numFmtId="40" fontId="28" fillId="0" borderId="21" xfId="42" applyNumberFormat="1" applyFont="1" applyFill="1" applyBorder="1" applyAlignment="1" applyProtection="1">
      <alignment horizontal="right"/>
      <protection/>
    </xf>
    <xf numFmtId="38" fontId="28" fillId="0" borderId="21" xfId="56" applyNumberFormat="1" applyFont="1" applyFill="1" applyBorder="1" applyAlignment="1" applyProtection="1">
      <alignment horizontal="right"/>
      <protection/>
    </xf>
    <xf numFmtId="38" fontId="26" fillId="0" borderId="21" xfId="42" applyNumberFormat="1" applyFont="1" applyBorder="1" applyAlignment="1" applyProtection="1">
      <alignment/>
      <protection/>
    </xf>
    <xf numFmtId="40" fontId="26" fillId="0" borderId="11" xfId="56" applyNumberFormat="1" applyFont="1" applyBorder="1" applyAlignment="1" applyProtection="1">
      <alignment horizontal="right"/>
      <protection/>
    </xf>
    <xf numFmtId="44" fontId="26" fillId="0" borderId="11" xfId="44" applyFont="1" applyBorder="1" applyAlignment="1" applyProtection="1">
      <alignment horizontal="center"/>
      <protection/>
    </xf>
    <xf numFmtId="42" fontId="26" fillId="0" borderId="11" xfId="44" applyNumberFormat="1" applyFont="1" applyBorder="1" applyAlignment="1" applyProtection="1">
      <alignment horizontal="center"/>
      <protection/>
    </xf>
    <xf numFmtId="40" fontId="26" fillId="0" borderId="0" xfId="56" applyNumberFormat="1" applyFont="1" applyBorder="1" applyProtection="1">
      <alignment/>
      <protection/>
    </xf>
    <xf numFmtId="38" fontId="28" fillId="0" borderId="21" xfId="42" applyNumberFormat="1" applyFont="1" applyFill="1" applyBorder="1" applyAlignment="1" applyProtection="1">
      <alignment/>
      <protection/>
    </xf>
    <xf numFmtId="40" fontId="28" fillId="0" borderId="21" xfId="42" applyNumberFormat="1" applyFont="1" applyFill="1" applyBorder="1" applyAlignment="1" applyProtection="1">
      <alignment/>
      <protection/>
    </xf>
    <xf numFmtId="40" fontId="26" fillId="0" borderId="21" xfId="56" applyNumberFormat="1" applyFont="1" applyBorder="1" applyProtection="1">
      <alignment/>
      <protection/>
    </xf>
    <xf numFmtId="0" fontId="28" fillId="0" borderId="21" xfId="56" applyFont="1" applyFill="1" applyBorder="1" applyAlignment="1" applyProtection="1">
      <alignment horizontal="center"/>
      <protection/>
    </xf>
    <xf numFmtId="38" fontId="28" fillId="0" borderId="21" xfId="56" applyNumberFormat="1" applyFont="1" applyFill="1" applyBorder="1" applyProtection="1">
      <alignment/>
      <protection/>
    </xf>
    <xf numFmtId="40" fontId="28" fillId="0" borderId="21" xfId="56" applyNumberFormat="1" applyFont="1" applyFill="1" applyBorder="1" applyProtection="1">
      <alignment/>
      <protection/>
    </xf>
    <xf numFmtId="169" fontId="28" fillId="0" borderId="21" xfId="56" applyNumberFormat="1" applyFont="1" applyFill="1" applyBorder="1" applyProtection="1">
      <alignment/>
      <protection/>
    </xf>
    <xf numFmtId="168" fontId="28" fillId="0" borderId="21" xfId="56" applyNumberFormat="1" applyFont="1" applyFill="1" applyBorder="1" applyProtection="1">
      <alignment/>
      <protection/>
    </xf>
    <xf numFmtId="3" fontId="28" fillId="0" borderId="21" xfId="56" applyNumberFormat="1" applyFont="1" applyFill="1" applyBorder="1" applyProtection="1">
      <alignment/>
      <protection/>
    </xf>
    <xf numFmtId="169" fontId="28" fillId="0" borderId="21" xfId="56" applyNumberFormat="1" applyFont="1" applyFill="1" applyBorder="1" applyAlignment="1" applyProtection="1">
      <alignment horizontal="center"/>
      <protection/>
    </xf>
    <xf numFmtId="10" fontId="28" fillId="0" borderId="21" xfId="59" applyNumberFormat="1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9" fillId="0" borderId="16" xfId="0" applyFont="1" applyFill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/>
      <protection/>
    </xf>
    <xf numFmtId="0" fontId="18" fillId="0" borderId="12" xfId="0" applyFont="1" applyBorder="1" applyAlignment="1" applyProtection="1">
      <alignment horizontal="center"/>
      <protection/>
    </xf>
    <xf numFmtId="1" fontId="19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indent="2"/>
      <protection/>
    </xf>
    <xf numFmtId="0" fontId="18" fillId="0" borderId="0" xfId="0" applyFont="1" applyBorder="1" applyAlignment="1" applyProtection="1">
      <alignment horizontal="right"/>
      <protection/>
    </xf>
    <xf numFmtId="0" fontId="18" fillId="0" borderId="16" xfId="0" applyFont="1" applyBorder="1" applyAlignment="1" applyProtection="1">
      <alignment horizontal="center"/>
      <protection/>
    </xf>
    <xf numFmtId="1" fontId="18" fillId="0" borderId="16" xfId="0" applyNumberFormat="1" applyFont="1" applyBorder="1" applyAlignment="1" applyProtection="1">
      <alignment horizontal="center"/>
      <protection/>
    </xf>
    <xf numFmtId="165" fontId="19" fillId="0" borderId="0" xfId="0" applyNumberFormat="1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left"/>
      <protection/>
    </xf>
    <xf numFmtId="0" fontId="19" fillId="0" borderId="11" xfId="0" applyFont="1" applyFill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 horizontal="center"/>
      <protection/>
    </xf>
    <xf numFmtId="0" fontId="18" fillId="0" borderId="10" xfId="0" applyFont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/>
      <protection/>
    </xf>
    <xf numFmtId="0" fontId="18" fillId="0" borderId="10" xfId="0" applyFont="1" applyBorder="1" applyAlignment="1" applyProtection="1">
      <alignment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/>
      <protection/>
    </xf>
    <xf numFmtId="0" fontId="17" fillId="0" borderId="11" xfId="0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/>
      <protection/>
    </xf>
    <xf numFmtId="0" fontId="18" fillId="0" borderId="21" xfId="0" applyFont="1" applyBorder="1" applyAlignment="1" applyProtection="1">
      <alignment horizontal="right"/>
      <protection/>
    </xf>
    <xf numFmtId="164" fontId="19" fillId="0" borderId="21" xfId="0" applyNumberFormat="1" applyFont="1" applyFill="1" applyBorder="1" applyAlignment="1" applyProtection="1">
      <alignment horizontal="center"/>
      <protection/>
    </xf>
    <xf numFmtId="7" fontId="18" fillId="0" borderId="21" xfId="0" applyNumberFormat="1" applyFont="1" applyBorder="1" applyAlignment="1" applyProtection="1">
      <alignment horizontal="center"/>
      <protection/>
    </xf>
    <xf numFmtId="164" fontId="17" fillId="0" borderId="0" xfId="0" applyNumberFormat="1" applyFont="1" applyBorder="1" applyAlignment="1" applyProtection="1">
      <alignment horizontal="center"/>
      <protection/>
    </xf>
    <xf numFmtId="7" fontId="17" fillId="0" borderId="0" xfId="0" applyNumberFormat="1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/>
      <protection/>
    </xf>
    <xf numFmtId="164" fontId="17" fillId="0" borderId="11" xfId="0" applyNumberFormat="1" applyFont="1" applyBorder="1" applyAlignment="1" applyProtection="1">
      <alignment horizontal="center"/>
      <protection/>
    </xf>
    <xf numFmtId="7" fontId="17" fillId="0" borderId="11" xfId="0" applyNumberFormat="1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/>
      <protection/>
    </xf>
    <xf numFmtId="0" fontId="18" fillId="0" borderId="12" xfId="0" applyFont="1" applyBorder="1" applyAlignment="1" applyProtection="1">
      <alignment horizontal="right"/>
      <protection/>
    </xf>
    <xf numFmtId="0" fontId="18" fillId="0" borderId="16" xfId="0" applyFont="1" applyBorder="1" applyAlignment="1" applyProtection="1">
      <alignment horizontal="right"/>
      <protection/>
    </xf>
    <xf numFmtId="1" fontId="18" fillId="0" borderId="0" xfId="0" applyNumberFormat="1" applyFont="1" applyBorder="1" applyAlignment="1" applyProtection="1">
      <alignment horizontal="center"/>
      <protection/>
    </xf>
    <xf numFmtId="167" fontId="18" fillId="0" borderId="0" xfId="42" applyNumberFormat="1" applyFont="1" applyBorder="1" applyAlignment="1" applyProtection="1">
      <alignment/>
      <protection/>
    </xf>
    <xf numFmtId="0" fontId="47" fillId="34" borderId="13" xfId="0" applyFont="1" applyFill="1" applyBorder="1" applyAlignment="1" applyProtection="1">
      <alignment/>
      <protection/>
    </xf>
    <xf numFmtId="0" fontId="66" fillId="34" borderId="10" xfId="0" applyFont="1" applyFill="1" applyBorder="1" applyAlignment="1" applyProtection="1">
      <alignment/>
      <protection/>
    </xf>
    <xf numFmtId="0" fontId="47" fillId="34" borderId="15" xfId="0" applyFont="1" applyFill="1" applyBorder="1" applyAlignment="1" applyProtection="1">
      <alignment/>
      <protection/>
    </xf>
    <xf numFmtId="165" fontId="50" fillId="34" borderId="0" xfId="0" applyNumberFormat="1" applyFont="1" applyFill="1" applyBorder="1" applyAlignment="1" applyProtection="1">
      <alignment horizontal="center" vertical="center"/>
      <protection/>
    </xf>
    <xf numFmtId="0" fontId="18" fillId="0" borderId="21" xfId="0" applyFont="1" applyBorder="1" applyAlignment="1" applyProtection="1">
      <alignment horizontal="left"/>
      <protection/>
    </xf>
    <xf numFmtId="167" fontId="18" fillId="0" borderId="21" xfId="42" applyNumberFormat="1" applyFont="1" applyBorder="1" applyAlignment="1" applyProtection="1">
      <alignment/>
      <protection/>
    </xf>
    <xf numFmtId="0" fontId="18" fillId="0" borderId="21" xfId="0" applyFont="1" applyBorder="1" applyAlignment="1" applyProtection="1">
      <alignment/>
      <protection/>
    </xf>
    <xf numFmtId="0" fontId="47" fillId="34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6" fontId="17" fillId="0" borderId="0" xfId="42" applyNumberFormat="1" applyFont="1" applyBorder="1" applyAlignment="1" applyProtection="1">
      <alignment/>
      <protection/>
    </xf>
    <xf numFmtId="6" fontId="17" fillId="0" borderId="0" xfId="0" applyNumberFormat="1" applyFont="1" applyBorder="1" applyAlignment="1" applyProtection="1">
      <alignment/>
      <protection/>
    </xf>
    <xf numFmtId="6" fontId="17" fillId="0" borderId="16" xfId="0" applyNumberFormat="1" applyFont="1" applyBorder="1" applyAlignment="1" applyProtection="1">
      <alignment/>
      <protection/>
    </xf>
    <xf numFmtId="6" fontId="17" fillId="0" borderId="0" xfId="0" applyNumberFormat="1" applyFont="1" applyAlignment="1" applyProtection="1">
      <alignment/>
      <protection/>
    </xf>
    <xf numFmtId="6" fontId="50" fillId="34" borderId="15" xfId="0" applyNumberFormat="1" applyFont="1" applyFill="1" applyBorder="1" applyAlignment="1" applyProtection="1">
      <alignment/>
      <protection/>
    </xf>
    <xf numFmtId="165" fontId="50" fillId="34" borderId="0" xfId="0" applyNumberFormat="1" applyFont="1" applyFill="1" applyBorder="1" applyAlignment="1" applyProtection="1">
      <alignment vertical="center"/>
      <protection/>
    </xf>
    <xf numFmtId="0" fontId="66" fillId="34" borderId="0" xfId="0" applyFont="1" applyFill="1" applyBorder="1" applyAlignment="1" applyProtection="1">
      <alignment/>
      <protection/>
    </xf>
    <xf numFmtId="0" fontId="50" fillId="34" borderId="0" xfId="0" applyFont="1" applyFill="1" applyBorder="1" applyAlignment="1" applyProtection="1">
      <alignment vertical="center"/>
      <protection/>
    </xf>
    <xf numFmtId="5" fontId="17" fillId="0" borderId="0" xfId="0" applyNumberFormat="1" applyFont="1" applyBorder="1" applyAlignment="1" applyProtection="1">
      <alignment/>
      <protection/>
    </xf>
    <xf numFmtId="5" fontId="17" fillId="0" borderId="16" xfId="0" applyNumberFormat="1" applyFont="1" applyBorder="1" applyAlignment="1" applyProtection="1">
      <alignment/>
      <protection/>
    </xf>
    <xf numFmtId="0" fontId="47" fillId="34" borderId="15" xfId="0" applyFont="1" applyFill="1" applyBorder="1" applyAlignment="1" applyProtection="1">
      <alignment horizontal="right"/>
      <protection/>
    </xf>
    <xf numFmtId="0" fontId="17" fillId="35" borderId="26" xfId="0" applyFont="1" applyFill="1" applyBorder="1" applyAlignment="1" applyProtection="1">
      <alignment/>
      <protection/>
    </xf>
    <xf numFmtId="0" fontId="17" fillId="35" borderId="22" xfId="0" applyFont="1" applyFill="1" applyBorder="1" applyAlignment="1" applyProtection="1">
      <alignment/>
      <protection/>
    </xf>
    <xf numFmtId="5" fontId="17" fillId="35" borderId="22" xfId="0" applyNumberFormat="1" applyFont="1" applyFill="1" applyBorder="1" applyAlignment="1" applyProtection="1">
      <alignment/>
      <protection/>
    </xf>
    <xf numFmtId="7" fontId="17" fillId="35" borderId="27" xfId="0" applyNumberFormat="1" applyFont="1" applyFill="1" applyBorder="1" applyAlignment="1" applyProtection="1">
      <alignment/>
      <protection/>
    </xf>
    <xf numFmtId="7" fontId="17" fillId="0" borderId="16" xfId="0" applyNumberFormat="1" applyFont="1" applyFill="1" applyBorder="1" applyAlignment="1" applyProtection="1">
      <alignment/>
      <protection/>
    </xf>
    <xf numFmtId="5" fontId="17" fillId="0" borderId="0" xfId="0" applyNumberFormat="1" applyFont="1" applyAlignment="1" applyProtection="1">
      <alignment/>
      <protection/>
    </xf>
    <xf numFmtId="5" fontId="50" fillId="34" borderId="17" xfId="0" applyNumberFormat="1" applyFont="1" applyFill="1" applyBorder="1" applyAlignment="1" applyProtection="1">
      <alignment/>
      <protection/>
    </xf>
    <xf numFmtId="165" fontId="50" fillId="34" borderId="11" xfId="0" applyNumberFormat="1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left" wrapText="1"/>
      <protection/>
    </xf>
    <xf numFmtId="165" fontId="17" fillId="0" borderId="0" xfId="0" applyNumberFormat="1" applyFont="1" applyFill="1" applyBorder="1" applyAlignment="1" applyProtection="1">
      <alignment vertical="center"/>
      <protection/>
    </xf>
    <xf numFmtId="165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/>
      <protection/>
    </xf>
    <xf numFmtId="0" fontId="68" fillId="32" borderId="19" xfId="0" applyFont="1" applyFill="1" applyBorder="1" applyAlignment="1" applyProtection="1">
      <alignment horizontal="center"/>
      <protection locked="0"/>
    </xf>
    <xf numFmtId="1" fontId="19" fillId="32" borderId="28" xfId="0" applyNumberFormat="1" applyFont="1" applyFill="1" applyBorder="1" applyAlignment="1" applyProtection="1">
      <alignment horizontal="center"/>
      <protection locked="0"/>
    </xf>
    <xf numFmtId="2" fontId="19" fillId="32" borderId="29" xfId="0" applyNumberFormat="1" applyFont="1" applyFill="1" applyBorder="1" applyAlignment="1" applyProtection="1">
      <alignment horizontal="center"/>
      <protection locked="0"/>
    </xf>
    <xf numFmtId="2" fontId="19" fillId="32" borderId="19" xfId="0" applyNumberFormat="1" applyFont="1" applyFill="1" applyBorder="1" applyAlignment="1" applyProtection="1">
      <alignment horizontal="center"/>
      <protection locked="0"/>
    </xf>
    <xf numFmtId="7" fontId="68" fillId="32" borderId="19" xfId="0" applyNumberFormat="1" applyFont="1" applyFill="1" applyBorder="1" applyAlignment="1" applyProtection="1">
      <alignment horizontal="center"/>
      <protection locked="0"/>
    </xf>
    <xf numFmtId="0" fontId="69" fillId="34" borderId="30" xfId="56" applyFont="1" applyFill="1" applyBorder="1" applyAlignment="1" applyProtection="1">
      <alignment horizontal="center" vertical="center"/>
      <protection locked="0"/>
    </xf>
    <xf numFmtId="0" fontId="7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18" fillId="0" borderId="0" xfId="0" applyFont="1" applyBorder="1" applyAlignment="1" applyProtection="1">
      <alignment horizontal="center"/>
      <protection/>
    </xf>
    <xf numFmtId="0" fontId="4" fillId="0" borderId="0" xfId="56" applyFont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32" borderId="19" xfId="0" applyFont="1" applyFill="1" applyBorder="1" applyAlignment="1" applyProtection="1">
      <alignment horizontal="center"/>
      <protection locked="0"/>
    </xf>
    <xf numFmtId="1" fontId="18" fillId="0" borderId="0" xfId="0" applyNumberFormat="1" applyFont="1" applyBorder="1" applyAlignment="1" applyProtection="1">
      <alignment horizontal="center"/>
      <protection/>
    </xf>
    <xf numFmtId="0" fontId="18" fillId="35" borderId="31" xfId="0" applyFont="1" applyFill="1" applyBorder="1" applyAlignment="1" applyProtection="1">
      <alignment horizontal="left" wrapText="1"/>
      <protection/>
    </xf>
    <xf numFmtId="0" fontId="18" fillId="35" borderId="0" xfId="0" applyFont="1" applyFill="1" applyBorder="1" applyAlignment="1" applyProtection="1">
      <alignment horizontal="left" wrapText="1"/>
      <protection/>
    </xf>
    <xf numFmtId="0" fontId="18" fillId="35" borderId="32" xfId="0" applyFont="1" applyFill="1" applyBorder="1" applyAlignment="1" applyProtection="1">
      <alignment horizontal="left" wrapText="1"/>
      <protection/>
    </xf>
    <xf numFmtId="0" fontId="18" fillId="35" borderId="33" xfId="0" applyFont="1" applyFill="1" applyBorder="1" applyAlignment="1" applyProtection="1">
      <alignment horizontal="left" wrapText="1"/>
      <protection/>
    </xf>
    <xf numFmtId="0" fontId="18" fillId="35" borderId="12" xfId="0" applyFont="1" applyFill="1" applyBorder="1" applyAlignment="1" applyProtection="1">
      <alignment horizontal="left" wrapText="1"/>
      <protection/>
    </xf>
    <xf numFmtId="0" fontId="18" fillId="35" borderId="34" xfId="0" applyFont="1" applyFill="1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right"/>
      <protection/>
    </xf>
    <xf numFmtId="164" fontId="19" fillId="32" borderId="19" xfId="0" applyNumberFormat="1" applyFont="1" applyFill="1" applyBorder="1" applyAlignment="1" applyProtection="1">
      <alignment horizontal="center"/>
      <protection locked="0"/>
    </xf>
    <xf numFmtId="7" fontId="68" fillId="32" borderId="19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19" fillId="32" borderId="35" xfId="0" applyFont="1" applyFill="1" applyBorder="1" applyAlignment="1" applyProtection="1">
      <alignment horizontal="center"/>
      <protection locked="0"/>
    </xf>
    <xf numFmtId="0" fontId="19" fillId="32" borderId="29" xfId="0" applyFont="1" applyFill="1" applyBorder="1" applyAlignment="1" applyProtection="1">
      <alignment horizontal="center"/>
      <protection locked="0"/>
    </xf>
    <xf numFmtId="0" fontId="71" fillId="34" borderId="10" xfId="0" applyFont="1" applyFill="1" applyBorder="1" applyAlignment="1" applyProtection="1">
      <alignment horizontal="left" vertical="center"/>
      <protection/>
    </xf>
    <xf numFmtId="0" fontId="71" fillId="34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32" xfId="0" applyFont="1" applyBorder="1" applyAlignment="1" applyProtection="1">
      <alignment horizontal="right"/>
      <protection/>
    </xf>
    <xf numFmtId="164" fontId="19" fillId="32" borderId="30" xfId="0" applyNumberFormat="1" applyFont="1" applyFill="1" applyBorder="1" applyAlignment="1" applyProtection="1">
      <alignment horizontal="center"/>
      <protection locked="0"/>
    </xf>
    <xf numFmtId="164" fontId="19" fillId="32" borderId="24" xfId="0" applyNumberFormat="1" applyFont="1" applyFill="1" applyBorder="1" applyAlignment="1" applyProtection="1">
      <alignment horizontal="center"/>
      <protection locked="0"/>
    </xf>
    <xf numFmtId="164" fontId="19" fillId="32" borderId="25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5" fontId="19" fillId="32" borderId="30" xfId="44" applyNumberFormat="1" applyFont="1" applyFill="1" applyBorder="1" applyAlignment="1" applyProtection="1">
      <alignment horizontal="center" vertical="center"/>
      <protection locked="0"/>
    </xf>
    <xf numFmtId="165" fontId="19" fillId="32" borderId="24" xfId="44" applyNumberFormat="1" applyFont="1" applyFill="1" applyBorder="1" applyAlignment="1" applyProtection="1">
      <alignment horizontal="center" vertical="center"/>
      <protection locked="0"/>
    </xf>
    <xf numFmtId="165" fontId="19" fillId="32" borderId="25" xfId="44" applyNumberFormat="1" applyFont="1" applyFill="1" applyBorder="1" applyAlignment="1" applyProtection="1">
      <alignment horizontal="center" vertical="center"/>
      <protection locked="0"/>
    </xf>
    <xf numFmtId="0" fontId="71" fillId="34" borderId="11" xfId="0" applyFont="1" applyFill="1" applyBorder="1" applyAlignment="1" applyProtection="1">
      <alignment horizontal="left" vertical="center"/>
      <protection/>
    </xf>
    <xf numFmtId="165" fontId="71" fillId="34" borderId="0" xfId="0" applyNumberFormat="1" applyFont="1" applyFill="1" applyBorder="1" applyAlignment="1" applyProtection="1">
      <alignment horizontal="center" vertical="center"/>
      <protection/>
    </xf>
    <xf numFmtId="165" fontId="71" fillId="34" borderId="11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165" fontId="71" fillId="34" borderId="10" xfId="0" applyNumberFormat="1" applyFont="1" applyFill="1" applyBorder="1" applyAlignment="1" applyProtection="1">
      <alignment horizontal="center" vertical="center"/>
      <protection/>
    </xf>
    <xf numFmtId="0" fontId="26" fillId="0" borderId="36" xfId="56" applyFont="1" applyBorder="1" applyAlignment="1" applyProtection="1">
      <alignment horizontal="center"/>
      <protection/>
    </xf>
    <xf numFmtId="0" fontId="16" fillId="0" borderId="37" xfId="56" applyFont="1" applyBorder="1" applyAlignment="1" applyProtection="1">
      <alignment horizontal="center" vertical="center" textRotation="90"/>
      <protection/>
    </xf>
    <xf numFmtId="0" fontId="16" fillId="0" borderId="38" xfId="56" applyFont="1" applyBorder="1" applyAlignment="1" applyProtection="1">
      <alignment horizontal="center" vertical="center" textRotation="90"/>
      <protection/>
    </xf>
    <xf numFmtId="0" fontId="16" fillId="0" borderId="39" xfId="56" applyFont="1" applyBorder="1" applyAlignment="1" applyProtection="1">
      <alignment horizontal="center" vertical="center" textRotation="90"/>
      <protection/>
    </xf>
    <xf numFmtId="0" fontId="26" fillId="0" borderId="23" xfId="56" applyFont="1" applyBorder="1" applyAlignment="1" applyProtection="1">
      <alignment horizontal="center"/>
      <protection/>
    </xf>
    <xf numFmtId="0" fontId="26" fillId="0" borderId="40" xfId="56" applyFont="1" applyBorder="1" applyAlignment="1" applyProtection="1">
      <alignment horizontal="center"/>
      <protection/>
    </xf>
    <xf numFmtId="0" fontId="26" fillId="0" borderId="41" xfId="56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ReStocking v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11</xdr:row>
      <xdr:rowOff>95250</xdr:rowOff>
    </xdr:from>
    <xdr:to>
      <xdr:col>5</xdr:col>
      <xdr:colOff>571500</xdr:colOff>
      <xdr:row>11</xdr:row>
      <xdr:rowOff>95250</xdr:rowOff>
    </xdr:to>
    <xdr:sp>
      <xdr:nvSpPr>
        <xdr:cNvPr id="1" name="Line 5"/>
        <xdr:cNvSpPr>
          <a:spLocks/>
        </xdr:cNvSpPr>
      </xdr:nvSpPr>
      <xdr:spPr>
        <a:xfrm flipH="1">
          <a:off x="3771900" y="2133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1143000</xdr:colOff>
      <xdr:row>11</xdr:row>
      <xdr:rowOff>95250</xdr:rowOff>
    </xdr:from>
    <xdr:to>
      <xdr:col>5</xdr:col>
      <xdr:colOff>1514475</xdr:colOff>
      <xdr:row>11</xdr:row>
      <xdr:rowOff>95250</xdr:rowOff>
    </xdr:to>
    <xdr:sp>
      <xdr:nvSpPr>
        <xdr:cNvPr id="2" name="Line 6"/>
        <xdr:cNvSpPr>
          <a:spLocks/>
        </xdr:cNvSpPr>
      </xdr:nvSpPr>
      <xdr:spPr>
        <a:xfrm>
          <a:off x="4857750" y="2133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9525</xdr:colOff>
      <xdr:row>1</xdr:row>
      <xdr:rowOff>133350</xdr:rowOff>
    </xdr:from>
    <xdr:to>
      <xdr:col>3</xdr:col>
      <xdr:colOff>1228725</xdr:colOff>
      <xdr:row>6</xdr:row>
      <xdr:rowOff>152400</xdr:rowOff>
    </xdr:to>
    <xdr:pic>
      <xdr:nvPicPr>
        <xdr:cNvPr id="3" name="Picture 4" descr="CSU-ext-rght-Gree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5275"/>
          <a:ext cx="1219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tranel@colostate.edu" TargetMode="External" /><Relationship Id="rId2" Type="http://schemas.openxmlformats.org/officeDocument/2006/relationships/hyperlink" Target="mailto:rsharp@colostate.ed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2"/>
  <sheetViews>
    <sheetView showGridLines="0" showRowColHeaders="0" tabSelected="1" zoomScalePageLayoutView="0" workbookViewId="0" topLeftCell="A1">
      <selection activeCell="E5" sqref="E5:I5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0.85546875" style="0" customWidth="1"/>
    <col min="4" max="4" width="25.7109375" style="0" customWidth="1"/>
    <col min="5" max="5" width="20.7109375" style="0" customWidth="1"/>
    <col min="6" max="6" width="22.7109375" style="0" customWidth="1"/>
    <col min="7" max="7" width="5.7109375" style="0" customWidth="1"/>
    <col min="8" max="8" width="5.8515625" style="0" customWidth="1"/>
    <col min="9" max="9" width="15.7109375" style="0" customWidth="1"/>
    <col min="10" max="10" width="2.7109375" style="0" customWidth="1"/>
  </cols>
  <sheetData>
    <row r="3" spans="4:9" ht="20.25">
      <c r="D3" s="5"/>
      <c r="E3" s="226" t="s">
        <v>152</v>
      </c>
      <c r="F3" s="226"/>
      <c r="G3" s="226"/>
      <c r="H3" s="226"/>
      <c r="I3" s="226"/>
    </row>
    <row r="4" spans="4:9" ht="18">
      <c r="D4" s="5"/>
      <c r="E4" s="227" t="s">
        <v>167</v>
      </c>
      <c r="F4" s="227"/>
      <c r="G4" s="227"/>
      <c r="H4" s="227"/>
      <c r="I4" s="227"/>
    </row>
    <row r="5" spans="4:9" ht="20.25">
      <c r="D5" s="5"/>
      <c r="E5" s="228"/>
      <c r="F5" s="228"/>
      <c r="G5" s="228"/>
      <c r="H5" s="228"/>
      <c r="I5" s="228"/>
    </row>
    <row r="6" spans="4:9" ht="12.75">
      <c r="D6" s="5"/>
      <c r="E6" s="5"/>
      <c r="F6" s="5"/>
      <c r="G6" s="5"/>
      <c r="H6" s="5"/>
      <c r="I6" s="5"/>
    </row>
    <row r="7" ht="12.75">
      <c r="D7" s="5"/>
    </row>
    <row r="8" spans="5:9" ht="12.75" customHeight="1">
      <c r="E8" s="5"/>
      <c r="F8" s="32"/>
      <c r="G8" s="32"/>
      <c r="H8" s="33"/>
      <c r="I8" s="33"/>
    </row>
    <row r="9" spans="5:9" ht="12.75" customHeight="1">
      <c r="E9" s="5"/>
      <c r="F9" s="33"/>
      <c r="G9" s="33"/>
      <c r="H9" s="33"/>
      <c r="I9" s="33"/>
    </row>
    <row r="10" spans="4:9" ht="12.75" customHeight="1">
      <c r="D10" s="40" t="s">
        <v>148</v>
      </c>
      <c r="E10" s="5"/>
      <c r="F10" s="33"/>
      <c r="G10" s="33"/>
      <c r="H10" s="33"/>
      <c r="I10" s="33"/>
    </row>
    <row r="11" spans="4:9" ht="12.75">
      <c r="D11" s="34"/>
      <c r="E11" s="35" t="s">
        <v>147</v>
      </c>
      <c r="G11" s="27" t="s">
        <v>165</v>
      </c>
      <c r="I11" s="27"/>
    </row>
    <row r="12" spans="4:9" ht="12.75">
      <c r="D12" s="40" t="s">
        <v>150</v>
      </c>
      <c r="E12" s="35" t="s">
        <v>153</v>
      </c>
      <c r="F12" s="36" t="s">
        <v>164</v>
      </c>
      <c r="G12" s="27" t="s">
        <v>166</v>
      </c>
      <c r="I12" s="27"/>
    </row>
    <row r="13" spans="4:9" ht="12.75">
      <c r="D13" s="40" t="s">
        <v>151</v>
      </c>
      <c r="E13" s="37" t="s">
        <v>149</v>
      </c>
      <c r="F13" s="31"/>
      <c r="G13" s="38" t="s">
        <v>168</v>
      </c>
      <c r="I13" s="38"/>
    </row>
    <row r="14" spans="4:9" ht="12.75">
      <c r="D14" s="40"/>
      <c r="E14" s="37"/>
      <c r="F14" s="31"/>
      <c r="G14" s="31"/>
      <c r="H14" s="38"/>
      <c r="I14" s="38"/>
    </row>
    <row r="15" spans="6:7" ht="12.75">
      <c r="F15" s="39"/>
      <c r="G15" s="39"/>
    </row>
    <row r="16" spans="2:10" ht="12.75">
      <c r="B16" s="41"/>
      <c r="C16" s="41"/>
      <c r="D16" s="41"/>
      <c r="E16" s="42"/>
      <c r="F16" s="42"/>
      <c r="G16" s="42"/>
      <c r="H16" s="42"/>
      <c r="I16" s="42"/>
      <c r="J16" s="41"/>
    </row>
    <row r="17" spans="2:10" ht="12.75">
      <c r="B17" s="41"/>
      <c r="C17" s="18"/>
      <c r="D17" s="18"/>
      <c r="E17" s="16"/>
      <c r="F17" s="16"/>
      <c r="G17" s="16"/>
      <c r="H17" s="16"/>
      <c r="I17" s="16"/>
      <c r="J17" s="41"/>
    </row>
    <row r="18" spans="2:10" ht="12.75">
      <c r="B18" s="41"/>
      <c r="C18" s="18"/>
      <c r="D18" s="229" t="s">
        <v>155</v>
      </c>
      <c r="E18" s="229"/>
      <c r="F18" s="229"/>
      <c r="G18" s="229"/>
      <c r="H18" s="229"/>
      <c r="I18" s="229"/>
      <c r="J18" s="41"/>
    </row>
    <row r="19" spans="2:10" ht="12.75">
      <c r="B19" s="41"/>
      <c r="C19" s="18"/>
      <c r="D19" s="229" t="s">
        <v>154</v>
      </c>
      <c r="E19" s="229"/>
      <c r="F19" s="229"/>
      <c r="G19" s="229"/>
      <c r="H19" s="229"/>
      <c r="I19" s="229"/>
      <c r="J19" s="41"/>
    </row>
    <row r="20" spans="2:10" ht="12.75">
      <c r="B20" s="41"/>
      <c r="C20" s="18"/>
      <c r="D20" s="44"/>
      <c r="E20" s="44"/>
      <c r="F20" s="44"/>
      <c r="G20" s="44"/>
      <c r="H20" s="44"/>
      <c r="I20" s="44"/>
      <c r="J20" s="41"/>
    </row>
    <row r="21" spans="2:10" ht="12.75">
      <c r="B21" s="41"/>
      <c r="C21" s="18"/>
      <c r="D21" s="229" t="s">
        <v>156</v>
      </c>
      <c r="E21" s="229"/>
      <c r="F21" s="229"/>
      <c r="G21" s="229"/>
      <c r="H21" s="229"/>
      <c r="I21" s="229"/>
      <c r="J21" s="41"/>
    </row>
    <row r="22" spans="2:10" ht="12.75">
      <c r="B22" s="41"/>
      <c r="C22" s="18"/>
      <c r="D22" s="43" t="s">
        <v>161</v>
      </c>
      <c r="E22" s="5"/>
      <c r="F22" s="5"/>
      <c r="G22" s="5"/>
      <c r="H22" s="5"/>
      <c r="I22" s="5"/>
      <c r="J22" s="41"/>
    </row>
    <row r="23" spans="2:10" ht="12.75">
      <c r="B23" s="41"/>
      <c r="C23" s="18"/>
      <c r="D23" s="43" t="s">
        <v>160</v>
      </c>
      <c r="E23" s="5"/>
      <c r="F23" s="5"/>
      <c r="G23" s="5"/>
      <c r="H23" s="5"/>
      <c r="I23" s="5"/>
      <c r="J23" s="41"/>
    </row>
    <row r="24" spans="2:10" ht="12.75">
      <c r="B24" s="41"/>
      <c r="C24" s="18"/>
      <c r="D24" s="43" t="s">
        <v>159</v>
      </c>
      <c r="E24" s="5"/>
      <c r="F24" s="5"/>
      <c r="G24" s="5"/>
      <c r="H24" s="5"/>
      <c r="I24" s="5"/>
      <c r="J24" s="41"/>
    </row>
    <row r="25" spans="2:10" ht="12.75">
      <c r="B25" s="41"/>
      <c r="C25" s="18"/>
      <c r="D25" s="43" t="s">
        <v>158</v>
      </c>
      <c r="E25" s="5"/>
      <c r="F25" s="5"/>
      <c r="G25" s="5"/>
      <c r="H25" s="5"/>
      <c r="I25" s="5"/>
      <c r="J25" s="41"/>
    </row>
    <row r="26" spans="2:10" ht="12.75">
      <c r="B26" s="41"/>
      <c r="C26" s="18"/>
      <c r="E26" s="5"/>
      <c r="F26" s="5"/>
      <c r="G26" s="5"/>
      <c r="H26" s="5"/>
      <c r="I26" s="5"/>
      <c r="J26" s="41"/>
    </row>
    <row r="27" spans="2:10" ht="12.75">
      <c r="B27" s="41"/>
      <c r="C27" s="18"/>
      <c r="D27" s="43" t="s">
        <v>157</v>
      </c>
      <c r="E27" s="5"/>
      <c r="F27" s="5"/>
      <c r="G27" s="5"/>
      <c r="H27" s="45" t="s">
        <v>169</v>
      </c>
      <c r="I27" s="5"/>
      <c r="J27" s="41"/>
    </row>
    <row r="28" spans="2:10" ht="12.75">
      <c r="B28" s="41"/>
      <c r="C28" s="18"/>
      <c r="E28" s="5"/>
      <c r="F28" s="5"/>
      <c r="G28" s="5"/>
      <c r="H28" s="5"/>
      <c r="I28" s="5"/>
      <c r="J28" s="41"/>
    </row>
    <row r="29" spans="2:10" ht="12.75">
      <c r="B29" s="41"/>
      <c r="C29" s="18"/>
      <c r="D29" s="230" t="s">
        <v>163</v>
      </c>
      <c r="E29" s="230"/>
      <c r="F29" s="230"/>
      <c r="G29" s="230"/>
      <c r="H29" s="230"/>
      <c r="I29" s="230"/>
      <c r="J29" s="41"/>
    </row>
    <row r="30" spans="2:10" ht="12.75">
      <c r="B30" s="41"/>
      <c r="C30" s="18"/>
      <c r="D30" s="230" t="s">
        <v>162</v>
      </c>
      <c r="E30" s="230"/>
      <c r="F30" s="230"/>
      <c r="G30" s="230"/>
      <c r="H30" s="230"/>
      <c r="I30" s="230"/>
      <c r="J30" s="41"/>
    </row>
    <row r="31" spans="2:10" ht="12.75">
      <c r="B31" s="41"/>
      <c r="C31" s="18"/>
      <c r="D31" s="46"/>
      <c r="E31" s="46"/>
      <c r="F31" s="46"/>
      <c r="G31" s="46"/>
      <c r="H31" s="46"/>
      <c r="I31" s="46"/>
      <c r="J31" s="41"/>
    </row>
    <row r="32" spans="2:10" ht="12.75">
      <c r="B32" s="41"/>
      <c r="C32" s="41"/>
      <c r="D32" s="41"/>
      <c r="E32" s="42"/>
      <c r="F32" s="42"/>
      <c r="G32" s="42"/>
      <c r="H32" s="42"/>
      <c r="I32" s="42"/>
      <c r="J32" s="41"/>
    </row>
  </sheetData>
  <sheetProtection password="CA5F" sheet="1" objects="1" scenarios="1"/>
  <mergeCells count="8">
    <mergeCell ref="D29:I29"/>
    <mergeCell ref="D30:I30"/>
    <mergeCell ref="E3:I3"/>
    <mergeCell ref="E4:I4"/>
    <mergeCell ref="E5:I5"/>
    <mergeCell ref="D18:I18"/>
    <mergeCell ref="D21:I21"/>
    <mergeCell ref="D19:I19"/>
  </mergeCells>
  <hyperlinks>
    <hyperlink ref="E13" r:id="rId1" display="jtranel@colostate.edu"/>
    <hyperlink ref="G13" r:id="rId2" display="rsharp@colostate.edu"/>
  </hyperlinks>
  <printOptions/>
  <pageMargins left="0.75" right="0.75" top="1" bottom="1" header="0.5" footer="0.5"/>
  <pageSetup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1"/>
  <sheetViews>
    <sheetView showGridLines="0" showRowColHeaders="0" zoomScalePageLayoutView="0" workbookViewId="0" topLeftCell="A1">
      <selection activeCell="C1" sqref="C1:T1"/>
    </sheetView>
  </sheetViews>
  <sheetFormatPr defaultColWidth="9.140625" defaultRowHeight="12.75"/>
  <cols>
    <col min="1" max="1" width="1.7109375" style="0" customWidth="1"/>
    <col min="2" max="2" width="0.85546875" style="0" customWidth="1"/>
    <col min="3" max="3" width="15.7109375" style="0" customWidth="1"/>
    <col min="4" max="4" width="11.28125" style="0" customWidth="1"/>
    <col min="5" max="5" width="7.7109375" style="0" customWidth="1"/>
    <col min="6" max="6" width="2.7109375" style="0" customWidth="1"/>
    <col min="7" max="7" width="4.7109375" style="0" customWidth="1"/>
    <col min="8" max="8" width="3.7109375" style="0" customWidth="1"/>
    <col min="9" max="10" width="10.7109375" style="0" customWidth="1"/>
    <col min="11" max="11" width="0.85546875" style="0" customWidth="1"/>
    <col min="12" max="12" width="1.7109375" style="0" customWidth="1"/>
    <col min="13" max="13" width="0.85546875" style="0" customWidth="1"/>
    <col min="14" max="14" width="7.7109375" style="0" customWidth="1"/>
    <col min="15" max="15" width="0.85546875" style="0" customWidth="1"/>
    <col min="16" max="16" width="2.7109375" style="0" customWidth="1"/>
    <col min="17" max="17" width="0.85546875" style="0" customWidth="1"/>
    <col min="18" max="20" width="10.7109375" style="0" customWidth="1"/>
    <col min="21" max="21" width="0.85546875" style="0" customWidth="1"/>
  </cols>
  <sheetData>
    <row r="1" spans="3:20" ht="20.25">
      <c r="C1" s="232" t="s">
        <v>170</v>
      </c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3:20" ht="12.75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3:25" ht="15.75" thickBot="1">
      <c r="C3" s="233" t="s">
        <v>83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142"/>
      <c r="P3" s="143"/>
      <c r="Q3" s="143"/>
      <c r="R3" s="233" t="s">
        <v>84</v>
      </c>
      <c r="S3" s="233"/>
      <c r="T3" s="233"/>
      <c r="W3" s="26"/>
      <c r="X3" s="10"/>
      <c r="Y3" s="10"/>
    </row>
    <row r="4" spans="2:25" ht="4.5" customHeight="1">
      <c r="B4" s="19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  <c r="P4" s="143"/>
      <c r="Q4" s="146"/>
      <c r="R4" s="144"/>
      <c r="S4" s="144"/>
      <c r="T4" s="144"/>
      <c r="U4" s="20"/>
      <c r="W4" s="26"/>
      <c r="X4" s="10"/>
      <c r="Y4" s="10"/>
    </row>
    <row r="5" spans="1:25" ht="15" customHeight="1">
      <c r="A5" s="5"/>
      <c r="B5" s="21"/>
      <c r="C5" s="147" t="s">
        <v>85</v>
      </c>
      <c r="D5" s="147"/>
      <c r="E5" s="220">
        <v>250</v>
      </c>
      <c r="F5" s="148"/>
      <c r="G5" s="147" t="s">
        <v>86</v>
      </c>
      <c r="H5" s="149"/>
      <c r="I5" s="149"/>
      <c r="J5" s="147"/>
      <c r="K5" s="147"/>
      <c r="L5" s="234">
        <v>550</v>
      </c>
      <c r="M5" s="234"/>
      <c r="N5" s="234"/>
      <c r="O5" s="150"/>
      <c r="P5" s="143"/>
      <c r="Q5" s="151"/>
      <c r="R5" s="149"/>
      <c r="S5" s="152" t="s">
        <v>87</v>
      </c>
      <c r="T5" s="152" t="s">
        <v>88</v>
      </c>
      <c r="U5" s="22"/>
      <c r="W5" s="31"/>
      <c r="X5" s="10"/>
      <c r="Y5" s="10"/>
    </row>
    <row r="6" spans="1:25" ht="15" customHeight="1">
      <c r="A6" s="5"/>
      <c r="B6" s="21"/>
      <c r="C6" s="147" t="s">
        <v>89</v>
      </c>
      <c r="D6" s="147"/>
      <c r="E6" s="53">
        <v>95</v>
      </c>
      <c r="F6" s="153"/>
      <c r="G6" s="147" t="s">
        <v>90</v>
      </c>
      <c r="H6" s="149"/>
      <c r="I6" s="149"/>
      <c r="J6" s="154"/>
      <c r="K6" s="154"/>
      <c r="L6" s="234">
        <v>500</v>
      </c>
      <c r="M6" s="234"/>
      <c r="N6" s="234"/>
      <c r="O6" s="150"/>
      <c r="P6" s="143"/>
      <c r="Q6" s="151"/>
      <c r="R6" s="29"/>
      <c r="S6" s="29"/>
      <c r="T6" s="29"/>
      <c r="U6" s="22"/>
      <c r="X6" s="10"/>
      <c r="Y6" s="10"/>
    </row>
    <row r="7" spans="1:25" ht="15" customHeight="1">
      <c r="A7" s="5"/>
      <c r="B7" s="21"/>
      <c r="C7" s="147" t="s">
        <v>91</v>
      </c>
      <c r="D7" s="147"/>
      <c r="E7" s="53">
        <v>95</v>
      </c>
      <c r="F7" s="153"/>
      <c r="G7" s="147" t="s">
        <v>92</v>
      </c>
      <c r="H7" s="149"/>
      <c r="I7" s="149"/>
      <c r="J7" s="147"/>
      <c r="K7" s="147"/>
      <c r="L7" s="234">
        <v>750</v>
      </c>
      <c r="M7" s="234"/>
      <c r="N7" s="234"/>
      <c r="O7" s="150"/>
      <c r="P7" s="143"/>
      <c r="Q7" s="151"/>
      <c r="R7" s="155" t="s">
        <v>139</v>
      </c>
      <c r="S7" s="56">
        <v>1.25</v>
      </c>
      <c r="T7" s="224">
        <f>S7-0.07</f>
        <v>1.18</v>
      </c>
      <c r="U7" s="22"/>
      <c r="X7" s="10"/>
      <c r="Y7" s="10"/>
    </row>
    <row r="8" spans="1:25" ht="15" customHeight="1">
      <c r="A8" s="5"/>
      <c r="B8" s="21"/>
      <c r="C8" s="147" t="s">
        <v>93</v>
      </c>
      <c r="D8" s="147"/>
      <c r="E8" s="54">
        <v>15</v>
      </c>
      <c r="F8" s="148"/>
      <c r="G8" s="149" t="s">
        <v>94</v>
      </c>
      <c r="H8" s="149"/>
      <c r="I8" s="149"/>
      <c r="J8" s="149"/>
      <c r="K8" s="149"/>
      <c r="L8" s="231">
        <f>(E6*E7)/100</f>
        <v>90.25</v>
      </c>
      <c r="M8" s="231"/>
      <c r="N8" s="231"/>
      <c r="O8" s="156"/>
      <c r="P8" s="143"/>
      <c r="Q8" s="151"/>
      <c r="R8" s="155" t="s">
        <v>140</v>
      </c>
      <c r="S8" s="56">
        <v>1.15</v>
      </c>
      <c r="T8" s="224">
        <f aca="true" t="shared" si="0" ref="T8:T16">S8-0.07</f>
        <v>1.0799999999999998</v>
      </c>
      <c r="U8" s="22"/>
      <c r="X8" s="10"/>
      <c r="Y8" s="10"/>
    </row>
    <row r="9" spans="1:25" ht="15" customHeight="1">
      <c r="A9" s="5"/>
      <c r="B9" s="21"/>
      <c r="C9" s="147" t="s">
        <v>95</v>
      </c>
      <c r="D9" s="147"/>
      <c r="E9" s="54">
        <v>12</v>
      </c>
      <c r="F9" s="148"/>
      <c r="G9" s="149" t="s">
        <v>96</v>
      </c>
      <c r="H9" s="149"/>
      <c r="I9" s="149"/>
      <c r="J9" s="149"/>
      <c r="K9" s="149"/>
      <c r="L9" s="235">
        <f>E5*((E6*E7)/10000)/2</f>
        <v>112.8125</v>
      </c>
      <c r="M9" s="235"/>
      <c r="N9" s="235"/>
      <c r="O9" s="157"/>
      <c r="P9" s="143"/>
      <c r="Q9" s="151"/>
      <c r="R9" s="155" t="s">
        <v>141</v>
      </c>
      <c r="S9" s="56">
        <v>1.05</v>
      </c>
      <c r="T9" s="224">
        <f t="shared" si="0"/>
        <v>0.98</v>
      </c>
      <c r="U9" s="22"/>
      <c r="X9" s="11">
        <v>1</v>
      </c>
      <c r="Y9" s="11">
        <f>(1+($E$12/100))^1</f>
        <v>1.04</v>
      </c>
    </row>
    <row r="10" spans="1:25" ht="15" customHeight="1">
      <c r="A10" s="5"/>
      <c r="B10" s="21"/>
      <c r="C10" s="147" t="s">
        <v>97</v>
      </c>
      <c r="D10" s="147"/>
      <c r="E10" s="55">
        <v>500</v>
      </c>
      <c r="F10" s="158"/>
      <c r="G10" s="149" t="s">
        <v>98</v>
      </c>
      <c r="H10" s="149"/>
      <c r="I10" s="149"/>
      <c r="J10" s="149"/>
      <c r="K10" s="149"/>
      <c r="L10" s="235">
        <f>L9</f>
        <v>112.8125</v>
      </c>
      <c r="M10" s="235"/>
      <c r="N10" s="235"/>
      <c r="O10" s="157"/>
      <c r="P10" s="143"/>
      <c r="Q10" s="151"/>
      <c r="R10" s="155" t="s">
        <v>142</v>
      </c>
      <c r="S10" s="56">
        <v>0.95</v>
      </c>
      <c r="T10" s="224">
        <f t="shared" si="0"/>
        <v>0.8799999999999999</v>
      </c>
      <c r="U10" s="22"/>
      <c r="X10" s="11">
        <v>2</v>
      </c>
      <c r="Y10" s="11">
        <f>(1+($E$12/100))^2</f>
        <v>1.0816000000000001</v>
      </c>
    </row>
    <row r="11" spans="1:25" ht="15" customHeight="1">
      <c r="A11" s="5"/>
      <c r="B11" s="21"/>
      <c r="C11" s="147" t="s">
        <v>99</v>
      </c>
      <c r="D11" s="147"/>
      <c r="E11" s="49">
        <f>'Cow Carrying Costs'!$I$5</f>
        <v>410.26571325000003</v>
      </c>
      <c r="F11" s="158"/>
      <c r="G11" s="149" t="s">
        <v>100</v>
      </c>
      <c r="H11" s="149"/>
      <c r="I11" s="149"/>
      <c r="J11" s="149"/>
      <c r="K11" s="149"/>
      <c r="L11" s="231">
        <f>(E8/100)*E5</f>
        <v>37.5</v>
      </c>
      <c r="M11" s="231"/>
      <c r="N11" s="231"/>
      <c r="O11" s="156"/>
      <c r="P11" s="143"/>
      <c r="Q11" s="151"/>
      <c r="R11" s="155" t="s">
        <v>143</v>
      </c>
      <c r="S11" s="56">
        <v>0.9</v>
      </c>
      <c r="T11" s="224">
        <f t="shared" si="0"/>
        <v>0.8300000000000001</v>
      </c>
      <c r="U11" s="22"/>
      <c r="X11" s="11">
        <v>3</v>
      </c>
      <c r="Y11" s="11">
        <f>(1+($E$12/100))^3</f>
        <v>1.124864</v>
      </c>
    </row>
    <row r="12" spans="1:25" ht="15" customHeight="1">
      <c r="A12" s="5"/>
      <c r="B12" s="21"/>
      <c r="C12" s="147" t="s">
        <v>101</v>
      </c>
      <c r="D12" s="147"/>
      <c r="E12" s="54">
        <v>4</v>
      </c>
      <c r="F12" s="148"/>
      <c r="G12" s="149" t="s">
        <v>102</v>
      </c>
      <c r="H12" s="149"/>
      <c r="I12" s="149"/>
      <c r="J12" s="149"/>
      <c r="K12" s="149"/>
      <c r="L12" s="231">
        <f>(E9/100)*E5</f>
        <v>30</v>
      </c>
      <c r="M12" s="231"/>
      <c r="N12" s="231"/>
      <c r="O12" s="156"/>
      <c r="P12" s="143"/>
      <c r="Q12" s="151"/>
      <c r="R12" s="155" t="s">
        <v>144</v>
      </c>
      <c r="S12" s="56">
        <v>0.85</v>
      </c>
      <c r="T12" s="224">
        <f t="shared" si="0"/>
        <v>0.78</v>
      </c>
      <c r="U12" s="22"/>
      <c r="X12" s="11">
        <v>4</v>
      </c>
      <c r="Y12" s="11">
        <f>(1+($E$12/100))^4</f>
        <v>1.1698585600000002</v>
      </c>
    </row>
    <row r="13" spans="1:25" ht="4.5" customHeight="1" thickBot="1">
      <c r="A13" s="5"/>
      <c r="B13" s="23"/>
      <c r="C13" s="159"/>
      <c r="D13" s="159"/>
      <c r="E13" s="160"/>
      <c r="F13" s="161"/>
      <c r="G13" s="162"/>
      <c r="H13" s="162"/>
      <c r="I13" s="162"/>
      <c r="J13" s="162"/>
      <c r="K13" s="162"/>
      <c r="L13" s="163"/>
      <c r="M13" s="163"/>
      <c r="N13" s="163"/>
      <c r="O13" s="164"/>
      <c r="P13" s="143"/>
      <c r="Q13" s="151"/>
      <c r="R13" s="252" t="s">
        <v>145</v>
      </c>
      <c r="S13" s="253">
        <v>0.9</v>
      </c>
      <c r="T13" s="244">
        <f>S13-0.07</f>
        <v>0.8300000000000001</v>
      </c>
      <c r="U13" s="22"/>
      <c r="X13" s="11"/>
      <c r="Y13" s="11"/>
    </row>
    <row r="14" spans="1:25" ht="4.5" customHeight="1">
      <c r="A14" s="5"/>
      <c r="B14" s="19"/>
      <c r="C14" s="165"/>
      <c r="D14" s="165"/>
      <c r="E14" s="166"/>
      <c r="F14" s="167"/>
      <c r="G14" s="168"/>
      <c r="H14" s="168"/>
      <c r="I14" s="168"/>
      <c r="J14" s="168"/>
      <c r="K14" s="168"/>
      <c r="L14" s="48"/>
      <c r="M14" s="48"/>
      <c r="N14" s="48"/>
      <c r="O14" s="169"/>
      <c r="P14" s="143"/>
      <c r="Q14" s="151"/>
      <c r="R14" s="252"/>
      <c r="S14" s="254"/>
      <c r="T14" s="244"/>
      <c r="U14" s="22"/>
      <c r="X14" s="11"/>
      <c r="Y14" s="11"/>
    </row>
    <row r="15" spans="1:25" ht="4.5" customHeight="1">
      <c r="A15" s="5"/>
      <c r="B15" s="21"/>
      <c r="C15" s="256" t="s">
        <v>129</v>
      </c>
      <c r="D15" s="256"/>
      <c r="E15" s="256"/>
      <c r="F15" s="256"/>
      <c r="G15" s="256"/>
      <c r="H15" s="149"/>
      <c r="I15" s="257">
        <v>0</v>
      </c>
      <c r="J15" s="149"/>
      <c r="K15" s="149"/>
      <c r="L15" s="149"/>
      <c r="M15" s="149"/>
      <c r="N15" s="149"/>
      <c r="O15" s="170"/>
      <c r="P15" s="143"/>
      <c r="Q15" s="151"/>
      <c r="R15" s="252"/>
      <c r="S15" s="255"/>
      <c r="T15" s="244"/>
      <c r="U15" s="22"/>
      <c r="X15" s="11">
        <v>5</v>
      </c>
      <c r="Y15" s="11">
        <f>(1+($E$12/100))^5</f>
        <v>1.2166529024000003</v>
      </c>
    </row>
    <row r="16" spans="1:25" ht="4.5" customHeight="1">
      <c r="A16" s="5"/>
      <c r="B16" s="21"/>
      <c r="C16" s="256"/>
      <c r="D16" s="256"/>
      <c r="E16" s="256"/>
      <c r="F16" s="256"/>
      <c r="G16" s="256"/>
      <c r="H16" s="149"/>
      <c r="I16" s="258"/>
      <c r="J16" s="149"/>
      <c r="K16" s="149"/>
      <c r="L16" s="149"/>
      <c r="M16" s="149"/>
      <c r="N16" s="149"/>
      <c r="O16" s="170"/>
      <c r="P16" s="143"/>
      <c r="Q16" s="151"/>
      <c r="R16" s="242" t="s">
        <v>146</v>
      </c>
      <c r="S16" s="243">
        <v>0.95</v>
      </c>
      <c r="T16" s="244">
        <f t="shared" si="0"/>
        <v>0.8799999999999999</v>
      </c>
      <c r="U16" s="22"/>
      <c r="X16" s="11"/>
      <c r="Y16" s="11"/>
    </row>
    <row r="17" spans="2:25" ht="9.75" customHeight="1">
      <c r="B17" s="21"/>
      <c r="C17" s="256"/>
      <c r="D17" s="256"/>
      <c r="E17" s="256"/>
      <c r="F17" s="256"/>
      <c r="G17" s="256"/>
      <c r="H17" s="149"/>
      <c r="I17" s="259"/>
      <c r="J17" s="149"/>
      <c r="K17" s="149"/>
      <c r="L17" s="142"/>
      <c r="M17" s="142"/>
      <c r="N17" s="149"/>
      <c r="O17" s="170"/>
      <c r="P17" s="143"/>
      <c r="Q17" s="151"/>
      <c r="R17" s="242"/>
      <c r="S17" s="243"/>
      <c r="T17" s="244"/>
      <c r="U17" s="22"/>
      <c r="X17" s="11">
        <v>6</v>
      </c>
      <c r="Y17" s="11">
        <f>(1+($E$12/100))^6</f>
        <v>1.2653190184960004</v>
      </c>
    </row>
    <row r="18" spans="2:25" ht="4.5" customHeight="1" thickBot="1">
      <c r="B18" s="23"/>
      <c r="C18" s="162"/>
      <c r="D18" s="162"/>
      <c r="E18" s="162"/>
      <c r="F18" s="162"/>
      <c r="G18" s="162"/>
      <c r="H18" s="162"/>
      <c r="I18" s="162"/>
      <c r="J18" s="162"/>
      <c r="K18" s="162"/>
      <c r="L18" s="171"/>
      <c r="M18" s="171"/>
      <c r="N18" s="162"/>
      <c r="O18" s="172"/>
      <c r="P18" s="143"/>
      <c r="Q18" s="151"/>
      <c r="R18" s="173"/>
      <c r="S18" s="174"/>
      <c r="T18" s="175"/>
      <c r="U18" s="22"/>
      <c r="X18" s="11"/>
      <c r="Y18" s="11"/>
    </row>
    <row r="19" spans="3:25" ht="15">
      <c r="C19" s="143"/>
      <c r="D19" s="143"/>
      <c r="E19" s="143"/>
      <c r="F19" s="143"/>
      <c r="G19" s="143"/>
      <c r="H19" s="143"/>
      <c r="I19" s="143"/>
      <c r="J19" s="143"/>
      <c r="K19" s="143"/>
      <c r="L19" s="142"/>
      <c r="M19" s="142"/>
      <c r="N19" s="143"/>
      <c r="O19" s="143"/>
      <c r="P19" s="143"/>
      <c r="Q19" s="151"/>
      <c r="R19" s="149"/>
      <c r="S19" s="176">
        <f>AVERAGE(S7:S16)</f>
        <v>1</v>
      </c>
      <c r="T19" s="177">
        <f>AVERAGE(T7:T16)</f>
        <v>0.9299999999999999</v>
      </c>
      <c r="U19" s="22"/>
      <c r="X19" s="11"/>
      <c r="Y19" s="11"/>
    </row>
    <row r="20" spans="3:25" ht="15.75" thickBot="1">
      <c r="C20" s="233" t="s">
        <v>103</v>
      </c>
      <c r="D20" s="233"/>
      <c r="E20" s="233"/>
      <c r="F20" s="233"/>
      <c r="G20" s="233"/>
      <c r="H20" s="233"/>
      <c r="I20" s="233"/>
      <c r="J20" s="233"/>
      <c r="K20" s="142"/>
      <c r="L20" s="142"/>
      <c r="M20" s="142"/>
      <c r="N20" s="143"/>
      <c r="O20" s="143"/>
      <c r="P20" s="143"/>
      <c r="Q20" s="178"/>
      <c r="R20" s="162"/>
      <c r="S20" s="179"/>
      <c r="T20" s="180"/>
      <c r="U20" s="24"/>
      <c r="X20" s="11"/>
      <c r="Y20" s="11"/>
    </row>
    <row r="21" spans="2:25" ht="15">
      <c r="B21" s="19"/>
      <c r="C21" s="165"/>
      <c r="D21" s="48"/>
      <c r="E21" s="48" t="s">
        <v>104</v>
      </c>
      <c r="F21" s="245" t="s">
        <v>105</v>
      </c>
      <c r="G21" s="245"/>
      <c r="H21" s="245"/>
      <c r="I21" s="48" t="s">
        <v>106</v>
      </c>
      <c r="J21" s="48"/>
      <c r="K21" s="169"/>
      <c r="L21" s="52"/>
      <c r="M21" s="52"/>
      <c r="N21" s="143"/>
      <c r="O21" s="143"/>
      <c r="P21" s="143"/>
      <c r="Q21" s="143"/>
      <c r="R21" s="143"/>
      <c r="S21" s="143"/>
      <c r="T21" s="143"/>
      <c r="X21" s="11">
        <v>7</v>
      </c>
      <c r="Y21" s="11">
        <f>(1+($E$12/100))^7</f>
        <v>1.3159317792358403</v>
      </c>
    </row>
    <row r="22" spans="2:25" ht="12.75" customHeight="1">
      <c r="B22" s="21"/>
      <c r="C22" s="181"/>
      <c r="D22" s="152" t="s">
        <v>107</v>
      </c>
      <c r="E22" s="152" t="s">
        <v>108</v>
      </c>
      <c r="F22" s="246" t="s">
        <v>109</v>
      </c>
      <c r="G22" s="246"/>
      <c r="H22" s="246"/>
      <c r="I22" s="182" t="s">
        <v>110</v>
      </c>
      <c r="J22" s="182" t="s">
        <v>111</v>
      </c>
      <c r="K22" s="183"/>
      <c r="L22" s="155"/>
      <c r="M22" s="155"/>
      <c r="N22" s="264" t="s">
        <v>112</v>
      </c>
      <c r="O22" s="264"/>
      <c r="P22" s="264"/>
      <c r="Q22" s="264"/>
      <c r="R22" s="264"/>
      <c r="S22" s="264"/>
      <c r="T22" s="264"/>
      <c r="X22" s="11">
        <v>8</v>
      </c>
      <c r="Y22" s="11">
        <f>(1+($E$12/100))^8</f>
        <v>1.368569050405274</v>
      </c>
    </row>
    <row r="23" spans="2:25" ht="13.5" customHeight="1" thickBot="1">
      <c r="B23" s="21"/>
      <c r="C23" s="147" t="s">
        <v>87</v>
      </c>
      <c r="D23" s="184">
        <f>L9</f>
        <v>112.8125</v>
      </c>
      <c r="E23" s="57">
        <f>S19</f>
        <v>1</v>
      </c>
      <c r="F23" s="231">
        <f>L5</f>
        <v>550</v>
      </c>
      <c r="G23" s="231"/>
      <c r="H23" s="231"/>
      <c r="I23" s="185">
        <f>D23*(E23*F23)</f>
        <v>62046.875</v>
      </c>
      <c r="J23" s="149"/>
      <c r="K23" s="170"/>
      <c r="L23" s="143"/>
      <c r="M23" s="143"/>
      <c r="N23" s="264"/>
      <c r="O23" s="264"/>
      <c r="P23" s="264"/>
      <c r="Q23" s="264"/>
      <c r="R23" s="264"/>
      <c r="S23" s="264"/>
      <c r="T23" s="264"/>
      <c r="X23" s="10"/>
      <c r="Y23" s="12"/>
    </row>
    <row r="24" spans="2:25" ht="12.75" customHeight="1">
      <c r="B24" s="21"/>
      <c r="C24" s="147" t="s">
        <v>88</v>
      </c>
      <c r="D24" s="184">
        <f>L10-L11</f>
        <v>75.3125</v>
      </c>
      <c r="E24" s="57">
        <f>T19</f>
        <v>0.9299999999999999</v>
      </c>
      <c r="F24" s="231">
        <f>L6</f>
        <v>500</v>
      </c>
      <c r="G24" s="231"/>
      <c r="H24" s="231"/>
      <c r="I24" s="185">
        <f>D24*(E24*F24)</f>
        <v>35020.31249999999</v>
      </c>
      <c r="J24" s="149"/>
      <c r="K24" s="170"/>
      <c r="L24" s="143"/>
      <c r="M24" s="186"/>
      <c r="N24" s="265">
        <f>($J$53/$Y$9)+($J$54/$Y$10)+($J$55/$Y$11)+($J$56/$Y$12)+($J$57/$Y$15)+($J$58/$Y$17)+($J$59/$Y$21)+($J$60/$Y$22)+($E$10/$Y$22)</f>
        <v>978.8803653633706</v>
      </c>
      <c r="O24" s="265"/>
      <c r="P24" s="265"/>
      <c r="Q24" s="187"/>
      <c r="R24" s="249" t="s">
        <v>113</v>
      </c>
      <c r="S24" s="249"/>
      <c r="T24" s="249"/>
      <c r="U24" s="58"/>
      <c r="V24" s="18"/>
      <c r="W24" s="9"/>
      <c r="X24" s="10"/>
      <c r="Y24" s="12"/>
    </row>
    <row r="25" spans="2:25" ht="12.75" customHeight="1">
      <c r="B25" s="21"/>
      <c r="C25" s="147" t="s">
        <v>114</v>
      </c>
      <c r="D25" s="52">
        <f>L11-L12</f>
        <v>7.5</v>
      </c>
      <c r="E25" s="223">
        <v>0.85</v>
      </c>
      <c r="F25" s="251">
        <f>L7</f>
        <v>750</v>
      </c>
      <c r="G25" s="251"/>
      <c r="H25" s="251"/>
      <c r="I25" s="185">
        <f>D25*(E25*F25)</f>
        <v>4781.25</v>
      </c>
      <c r="J25" s="149"/>
      <c r="K25" s="170"/>
      <c r="L25" s="143"/>
      <c r="M25" s="188"/>
      <c r="N25" s="261"/>
      <c r="O25" s="261"/>
      <c r="P25" s="261"/>
      <c r="Q25" s="189"/>
      <c r="R25" s="250"/>
      <c r="S25" s="250"/>
      <c r="T25" s="250"/>
      <c r="U25" s="59"/>
      <c r="V25" s="18"/>
      <c r="W25" s="13"/>
      <c r="X25" s="10"/>
      <c r="Y25" s="10"/>
    </row>
    <row r="26" spans="2:25" ht="15.75" thickBot="1">
      <c r="B26" s="21"/>
      <c r="C26" s="190" t="s">
        <v>115</v>
      </c>
      <c r="D26" s="221">
        <v>45</v>
      </c>
      <c r="E26" s="222">
        <v>0.5</v>
      </c>
      <c r="F26" s="247">
        <v>1000</v>
      </c>
      <c r="G26" s="248"/>
      <c r="H26" s="248"/>
      <c r="I26" s="191">
        <f>D26*(E26*F26)</f>
        <v>22500</v>
      </c>
      <c r="J26" s="192"/>
      <c r="K26" s="170"/>
      <c r="L26" s="149"/>
      <c r="M26" s="188"/>
      <c r="N26" s="193"/>
      <c r="O26" s="193"/>
      <c r="P26" s="193"/>
      <c r="Q26" s="193"/>
      <c r="R26" s="193"/>
      <c r="S26" s="193"/>
      <c r="T26" s="193"/>
      <c r="U26" s="59"/>
      <c r="V26" s="18"/>
      <c r="W26" s="14"/>
      <c r="X26" s="10"/>
      <c r="Y26" s="10"/>
    </row>
    <row r="27" spans="2:25" ht="13.5" customHeight="1" thickTop="1">
      <c r="B27" s="21"/>
      <c r="C27" s="194" t="s">
        <v>137</v>
      </c>
      <c r="D27" s="195"/>
      <c r="E27" s="195"/>
      <c r="F27" s="195"/>
      <c r="G27" s="195"/>
      <c r="H27" s="195"/>
      <c r="I27" s="196">
        <f>SUM(I23:I26)</f>
        <v>124348.4375</v>
      </c>
      <c r="J27" s="197">
        <f>I27/E5</f>
        <v>497.39375</v>
      </c>
      <c r="K27" s="198"/>
      <c r="L27" s="199"/>
      <c r="M27" s="200"/>
      <c r="N27" s="261">
        <f>($J$53/$Y$9)+($J$54/$Y$10)+($J$55/$Y$11)+($J$56/$Y$12)+($J$57/$Y$15)+($E$10/$Y$15)</f>
        <v>917.9215014360482</v>
      </c>
      <c r="O27" s="261"/>
      <c r="P27" s="261"/>
      <c r="Q27" s="189"/>
      <c r="R27" s="250" t="s">
        <v>116</v>
      </c>
      <c r="S27" s="250"/>
      <c r="T27" s="250"/>
      <c r="U27" s="59"/>
      <c r="V27" s="18"/>
      <c r="W27" s="15"/>
      <c r="X27" s="10"/>
      <c r="Y27" s="10"/>
    </row>
    <row r="28" spans="2:25" ht="13.5" customHeight="1">
      <c r="B28" s="21"/>
      <c r="C28" s="194"/>
      <c r="D28" s="195"/>
      <c r="E28" s="195"/>
      <c r="F28" s="195"/>
      <c r="G28" s="195"/>
      <c r="H28" s="195"/>
      <c r="I28" s="196"/>
      <c r="J28" s="197"/>
      <c r="K28" s="198"/>
      <c r="L28" s="199"/>
      <c r="M28" s="200"/>
      <c r="N28" s="261"/>
      <c r="O28" s="261"/>
      <c r="P28" s="261"/>
      <c r="Q28" s="189"/>
      <c r="R28" s="250"/>
      <c r="S28" s="250"/>
      <c r="T28" s="250"/>
      <c r="U28" s="59"/>
      <c r="V28" s="18"/>
      <c r="W28" s="15"/>
      <c r="X28" s="10"/>
      <c r="Y28" s="10"/>
    </row>
    <row r="29" spans="2:25" ht="12.75" customHeight="1">
      <c r="B29" s="21"/>
      <c r="C29" s="149"/>
      <c r="D29" s="149"/>
      <c r="E29" s="152" t="s">
        <v>1</v>
      </c>
      <c r="F29" s="246" t="s">
        <v>117</v>
      </c>
      <c r="G29" s="246"/>
      <c r="H29" s="246"/>
      <c r="I29" s="182" t="s">
        <v>118</v>
      </c>
      <c r="J29" s="182" t="s">
        <v>111</v>
      </c>
      <c r="K29" s="183"/>
      <c r="L29" s="143"/>
      <c r="M29" s="188"/>
      <c r="N29" s="201"/>
      <c r="O29" s="201"/>
      <c r="P29" s="201"/>
      <c r="Q29" s="189"/>
      <c r="R29" s="202"/>
      <c r="S29" s="203"/>
      <c r="T29" s="203"/>
      <c r="U29" s="59"/>
      <c r="V29" s="18"/>
      <c r="W29" s="16"/>
      <c r="X29" s="10"/>
      <c r="Y29" s="10"/>
    </row>
    <row r="30" spans="1:25" ht="15">
      <c r="A30" s="5"/>
      <c r="B30" s="21"/>
      <c r="C30" s="194" t="s">
        <v>138</v>
      </c>
      <c r="D30" s="149"/>
      <c r="E30" s="52">
        <f>E5</f>
        <v>250</v>
      </c>
      <c r="F30" s="263">
        <f>E11+I15</f>
        <v>410.26571325000003</v>
      </c>
      <c r="G30" s="263"/>
      <c r="H30" s="263"/>
      <c r="I30" s="204">
        <f>E30*F30</f>
        <v>102566.42831250001</v>
      </c>
      <c r="J30" s="204">
        <f>I30/E5</f>
        <v>410.26571325000003</v>
      </c>
      <c r="K30" s="205"/>
      <c r="L30" s="155"/>
      <c r="M30" s="206"/>
      <c r="N30" s="261">
        <f>($J$53/$Y$9)+($J$54/$Y$10)+($J$55/$Y$11)+($E$10/$Y$11)</f>
        <v>855.1906315063865</v>
      </c>
      <c r="O30" s="261"/>
      <c r="P30" s="261"/>
      <c r="Q30" s="193"/>
      <c r="R30" s="250" t="s">
        <v>119</v>
      </c>
      <c r="S30" s="250"/>
      <c r="T30" s="250"/>
      <c r="U30" s="59"/>
      <c r="V30" s="18"/>
      <c r="W30" s="16"/>
      <c r="X30" s="10"/>
      <c r="Y30" s="10"/>
    </row>
    <row r="31" spans="2:25" ht="15" customHeight="1" thickBot="1">
      <c r="B31" s="21"/>
      <c r="C31" s="207" t="s">
        <v>136</v>
      </c>
      <c r="D31" s="208"/>
      <c r="E31" s="208"/>
      <c r="F31" s="208"/>
      <c r="G31" s="208"/>
      <c r="H31" s="208"/>
      <c r="I31" s="209">
        <f>I27-I30</f>
        <v>21782.009187499993</v>
      </c>
      <c r="J31" s="210">
        <f>I31/E5</f>
        <v>87.12803674999996</v>
      </c>
      <c r="K31" s="211"/>
      <c r="L31" s="212"/>
      <c r="M31" s="213"/>
      <c r="N31" s="262"/>
      <c r="O31" s="262"/>
      <c r="P31" s="262"/>
      <c r="Q31" s="214"/>
      <c r="R31" s="260"/>
      <c r="S31" s="260"/>
      <c r="T31" s="260"/>
      <c r="U31" s="60"/>
      <c r="V31" s="18"/>
      <c r="X31" s="10"/>
      <c r="Y31" s="10"/>
    </row>
    <row r="32" spans="2:25" ht="13.5" customHeight="1">
      <c r="B32" s="21"/>
      <c r="C32" s="236" t="s">
        <v>120</v>
      </c>
      <c r="D32" s="237"/>
      <c r="E32" s="237"/>
      <c r="F32" s="237"/>
      <c r="G32" s="237"/>
      <c r="H32" s="237"/>
      <c r="I32" s="237"/>
      <c r="J32" s="238"/>
      <c r="K32" s="215"/>
      <c r="L32" s="143"/>
      <c r="M32" s="143"/>
      <c r="N32" s="216"/>
      <c r="O32" s="216"/>
      <c r="P32" s="216"/>
      <c r="Q32" s="217"/>
      <c r="R32" s="218"/>
      <c r="S32" s="218"/>
      <c r="T32" s="218"/>
      <c r="U32" s="10"/>
      <c r="V32" s="10"/>
      <c r="W32" s="10"/>
      <c r="X32" s="10"/>
      <c r="Y32" s="10"/>
    </row>
    <row r="33" spans="2:25" ht="15">
      <c r="B33" s="21"/>
      <c r="C33" s="239"/>
      <c r="D33" s="240"/>
      <c r="E33" s="240"/>
      <c r="F33" s="240"/>
      <c r="G33" s="240"/>
      <c r="H33" s="240"/>
      <c r="I33" s="240"/>
      <c r="J33" s="241"/>
      <c r="K33" s="215"/>
      <c r="L33" s="219"/>
      <c r="M33" s="219"/>
      <c r="N33" s="143"/>
      <c r="O33" s="143"/>
      <c r="P33" s="143"/>
      <c r="Q33" s="143"/>
      <c r="R33" s="143"/>
      <c r="S33" s="143"/>
      <c r="T33" s="143"/>
      <c r="U33" s="10"/>
      <c r="V33" s="17"/>
      <c r="W33" s="17"/>
      <c r="X33" s="10"/>
      <c r="Y33" s="10"/>
    </row>
    <row r="34" spans="2:25" ht="4.5" customHeight="1" thickBot="1">
      <c r="B34" s="23"/>
      <c r="C34" s="6"/>
      <c r="D34" s="6"/>
      <c r="E34" s="6"/>
      <c r="F34" s="6"/>
      <c r="G34" s="6"/>
      <c r="H34" s="6"/>
      <c r="I34" s="6"/>
      <c r="J34" s="6"/>
      <c r="K34" s="24"/>
      <c r="L34" s="50"/>
      <c r="M34" s="50"/>
      <c r="N34" s="47"/>
      <c r="O34" s="47"/>
      <c r="P34" s="47"/>
      <c r="Q34" s="47"/>
      <c r="R34" s="47"/>
      <c r="S34" s="47"/>
      <c r="T34" s="47"/>
      <c r="X34" s="10"/>
      <c r="Y34" s="10"/>
    </row>
    <row r="35" spans="12:25" ht="15">
      <c r="L35" s="50"/>
      <c r="M35" s="50"/>
      <c r="N35" s="51"/>
      <c r="O35" s="51"/>
      <c r="P35" s="51"/>
      <c r="Q35" s="51"/>
      <c r="R35" s="47"/>
      <c r="S35" s="47"/>
      <c r="T35" s="47"/>
      <c r="W35" s="18"/>
      <c r="X35" s="10"/>
      <c r="Y35" s="10"/>
    </row>
    <row r="49" ht="13.5" thickBot="1"/>
    <row r="50" spans="8:13" ht="12.75">
      <c r="H50" s="19"/>
      <c r="I50" s="3"/>
      <c r="J50" s="3"/>
      <c r="K50" s="3"/>
      <c r="L50" s="20"/>
      <c r="M50" s="5"/>
    </row>
    <row r="51" spans="8:13" ht="12.75">
      <c r="H51" s="21"/>
      <c r="I51" s="4"/>
      <c r="J51" s="8" t="s">
        <v>134</v>
      </c>
      <c r="K51" s="8"/>
      <c r="L51" s="22"/>
      <c r="M51" s="5"/>
    </row>
    <row r="52" spans="8:13" ht="12.75">
      <c r="H52" s="21"/>
      <c r="I52" s="30" t="s">
        <v>135</v>
      </c>
      <c r="J52" s="7" t="s">
        <v>6</v>
      </c>
      <c r="K52" s="8"/>
      <c r="L52" s="22"/>
      <c r="M52" s="5"/>
    </row>
    <row r="53" spans="8:13" ht="12.75">
      <c r="H53" s="21"/>
      <c r="I53" s="31">
        <v>1</v>
      </c>
      <c r="J53" s="25">
        <f aca="true" t="shared" si="1" ref="J53:J59">((($D$23*($L$5*S7))+($D$24*($L$6*T7))+$I$25+$I$26)-($I$30))/$E$5</f>
        <v>186.83116174999998</v>
      </c>
      <c r="K53" s="25"/>
      <c r="L53" s="22"/>
      <c r="M53" s="5"/>
    </row>
    <row r="54" spans="8:13" ht="12.75">
      <c r="H54" s="21"/>
      <c r="I54" s="31">
        <v>2</v>
      </c>
      <c r="J54" s="25">
        <f t="shared" si="1"/>
        <v>146.94991174999998</v>
      </c>
      <c r="K54" s="25"/>
      <c r="L54" s="22"/>
      <c r="M54" s="5"/>
    </row>
    <row r="55" spans="8:13" ht="12.75">
      <c r="H55" s="21"/>
      <c r="I55" s="31">
        <v>3</v>
      </c>
      <c r="J55" s="25">
        <f t="shared" si="1"/>
        <v>107.06866174999998</v>
      </c>
      <c r="K55" s="25"/>
      <c r="L55" s="22"/>
      <c r="M55" s="5"/>
    </row>
    <row r="56" spans="8:13" ht="12.75">
      <c r="H56" s="21"/>
      <c r="I56" s="31">
        <v>4</v>
      </c>
      <c r="J56" s="25">
        <f t="shared" si="1"/>
        <v>67.18741174999997</v>
      </c>
      <c r="K56" s="25"/>
      <c r="L56" s="22"/>
      <c r="M56" s="5"/>
    </row>
    <row r="57" spans="8:13" ht="12.75">
      <c r="H57" s="21"/>
      <c r="I57" s="31">
        <v>5</v>
      </c>
      <c r="J57" s="25">
        <f t="shared" si="1"/>
        <v>47.24678674999997</v>
      </c>
      <c r="K57" s="25"/>
      <c r="L57" s="22"/>
      <c r="M57" s="5"/>
    </row>
    <row r="58" spans="8:13" ht="12.75">
      <c r="H58" s="21"/>
      <c r="I58" s="31">
        <v>6</v>
      </c>
      <c r="J58" s="25">
        <f t="shared" si="1"/>
        <v>27.30616174999997</v>
      </c>
      <c r="K58" s="25"/>
      <c r="L58" s="22"/>
      <c r="M58" s="5"/>
    </row>
    <row r="59" spans="8:13" ht="12.75">
      <c r="H59" s="21"/>
      <c r="I59" s="31">
        <v>7</v>
      </c>
      <c r="J59" s="25">
        <f t="shared" si="1"/>
        <v>47.24678674999997</v>
      </c>
      <c r="K59" s="25"/>
      <c r="L59" s="22"/>
      <c r="M59" s="5"/>
    </row>
    <row r="60" spans="8:13" ht="12.75">
      <c r="H60" s="21"/>
      <c r="I60" s="31">
        <v>8</v>
      </c>
      <c r="J60" s="25">
        <f>((($D$23*($L$5*S16))+($D$24*($L$6*T16))+$I$25+$I$26)-($I$30))/$E$5</f>
        <v>67.18741174999997</v>
      </c>
      <c r="K60" s="25"/>
      <c r="L60" s="22"/>
      <c r="M60" s="5"/>
    </row>
    <row r="61" spans="8:13" ht="13.5" thickBot="1">
      <c r="H61" s="23"/>
      <c r="I61" s="6"/>
      <c r="J61" s="6"/>
      <c r="K61" s="6"/>
      <c r="L61" s="24"/>
      <c r="M61" s="5"/>
    </row>
  </sheetData>
  <sheetProtection password="CA5F" sheet="1" objects="1" scenarios="1"/>
  <mergeCells count="36">
    <mergeCell ref="N22:T23"/>
    <mergeCell ref="N24:P25"/>
    <mergeCell ref="N27:P28"/>
    <mergeCell ref="R27:T28"/>
    <mergeCell ref="R13:R15"/>
    <mergeCell ref="S13:S15"/>
    <mergeCell ref="T13:T15"/>
    <mergeCell ref="C15:G17"/>
    <mergeCell ref="I15:I17"/>
    <mergeCell ref="C20:J20"/>
    <mergeCell ref="C32:J33"/>
    <mergeCell ref="R16:R17"/>
    <mergeCell ref="S16:S17"/>
    <mergeCell ref="T16:T17"/>
    <mergeCell ref="F21:H21"/>
    <mergeCell ref="F22:H22"/>
    <mergeCell ref="F26:H26"/>
    <mergeCell ref="R24:T25"/>
    <mergeCell ref="F23:H23"/>
    <mergeCell ref="F24:H24"/>
    <mergeCell ref="F25:H25"/>
    <mergeCell ref="R30:T31"/>
    <mergeCell ref="N30:P31"/>
    <mergeCell ref="F29:H29"/>
    <mergeCell ref="F30:H30"/>
    <mergeCell ref="L12:N12"/>
    <mergeCell ref="C1:T1"/>
    <mergeCell ref="C3:N3"/>
    <mergeCell ref="R3:T3"/>
    <mergeCell ref="L5:N5"/>
    <mergeCell ref="L6:N6"/>
    <mergeCell ref="L7:N7"/>
    <mergeCell ref="L8:N8"/>
    <mergeCell ref="L9:N9"/>
    <mergeCell ref="L10:N10"/>
    <mergeCell ref="L11:N11"/>
  </mergeCells>
  <printOptions/>
  <pageMargins left="0.75" right="0.75" top="1" bottom="1" header="0.5" footer="0.5"/>
  <pageSetup horizontalDpi="300" verticalDpi="300" orientation="portrait" r:id="rId3"/>
  <ignoredErrors>
    <ignoredError sqref="T7 T8:T17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3"/>
  <sheetViews>
    <sheetView showGridLines="0" showRowColHeaders="0" zoomScalePageLayoutView="0" workbookViewId="0" topLeftCell="A1">
      <selection activeCell="E5" sqref="E5"/>
    </sheetView>
  </sheetViews>
  <sheetFormatPr defaultColWidth="11.421875" defaultRowHeight="12.75"/>
  <cols>
    <col min="1" max="1" width="2.28125" style="2" customWidth="1"/>
    <col min="2" max="2" width="8.7109375" style="2" customWidth="1"/>
    <col min="3" max="3" width="0.85546875" style="2" customWidth="1"/>
    <col min="4" max="5" width="13.8515625" style="2" customWidth="1"/>
    <col min="6" max="6" width="11.28125" style="2" customWidth="1"/>
    <col min="7" max="7" width="12.57421875" style="2" customWidth="1"/>
    <col min="8" max="10" width="11.28125" style="2" customWidth="1"/>
    <col min="11" max="11" width="12.57421875" style="2" customWidth="1"/>
    <col min="12" max="12" width="0.85546875" style="2" customWidth="1"/>
    <col min="13" max="16384" width="11.421875" style="2" customWidth="1"/>
  </cols>
  <sheetData>
    <row r="1" spans="1:13" ht="20.25">
      <c r="A1" s="109"/>
      <c r="B1" s="232" t="s">
        <v>2</v>
      </c>
      <c r="C1" s="232"/>
      <c r="D1" s="232"/>
      <c r="E1" s="232"/>
      <c r="F1" s="232"/>
      <c r="G1" s="232"/>
      <c r="H1" s="232"/>
      <c r="I1" s="232"/>
      <c r="J1" s="232"/>
      <c r="K1" s="232"/>
      <c r="L1" s="109"/>
      <c r="M1" s="1"/>
    </row>
    <row r="2" spans="1:13" ht="20.25">
      <c r="A2" s="109"/>
      <c r="B2" s="232" t="s">
        <v>3</v>
      </c>
      <c r="C2" s="232"/>
      <c r="D2" s="232"/>
      <c r="E2" s="232"/>
      <c r="F2" s="232"/>
      <c r="G2" s="232"/>
      <c r="H2" s="232"/>
      <c r="I2" s="232"/>
      <c r="J2" s="232"/>
      <c r="K2" s="232"/>
      <c r="L2" s="109"/>
      <c r="M2" s="1"/>
    </row>
    <row r="3" spans="1:13" ht="15.75">
      <c r="A3" s="109"/>
      <c r="B3" s="109"/>
      <c r="C3" s="109"/>
      <c r="D3" s="109"/>
      <c r="E3" s="109"/>
      <c r="F3" s="110"/>
      <c r="G3" s="110"/>
      <c r="H3" s="110"/>
      <c r="I3" s="110"/>
      <c r="J3" s="109"/>
      <c r="K3" s="109"/>
      <c r="L3" s="109"/>
      <c r="M3" s="1"/>
    </row>
    <row r="4" spans="1:13" ht="15.75">
      <c r="A4" s="109"/>
      <c r="B4" s="111"/>
      <c r="C4" s="111"/>
      <c r="D4" s="270" t="s">
        <v>4</v>
      </c>
      <c r="E4" s="271"/>
      <c r="F4" s="272"/>
      <c r="G4" s="111"/>
      <c r="H4" s="111"/>
      <c r="I4" s="270" t="s">
        <v>5</v>
      </c>
      <c r="J4" s="271"/>
      <c r="K4" s="272"/>
      <c r="L4" s="111"/>
      <c r="M4" s="1"/>
    </row>
    <row r="5" spans="1:13" ht="19.5" customHeight="1">
      <c r="A5" s="109"/>
      <c r="B5" s="111"/>
      <c r="C5" s="111"/>
      <c r="D5" s="111"/>
      <c r="E5" s="225">
        <f>'Cow Investment'!E5</f>
        <v>250</v>
      </c>
      <c r="F5" s="111"/>
      <c r="G5" s="111"/>
      <c r="H5" s="111"/>
      <c r="I5" s="112">
        <f>J20+J34+J48+J58+J71+J83+J95+J103</f>
        <v>410.26571325000003</v>
      </c>
      <c r="J5" s="111"/>
      <c r="K5" s="113">
        <f>K20+K34+K48+K58+K71+K83+K95+K103</f>
        <v>102566.4283125</v>
      </c>
      <c r="L5" s="111"/>
      <c r="M5" s="1"/>
    </row>
    <row r="6" spans="1:13" ht="15.75">
      <c r="A6" s="109"/>
      <c r="B6" s="111"/>
      <c r="C6" s="111"/>
      <c r="D6" s="114"/>
      <c r="E6" s="115" t="s">
        <v>1</v>
      </c>
      <c r="F6" s="114"/>
      <c r="G6" s="111"/>
      <c r="H6" s="111"/>
      <c r="I6" s="115" t="s">
        <v>6</v>
      </c>
      <c r="J6" s="111"/>
      <c r="K6" s="115" t="s">
        <v>7</v>
      </c>
      <c r="L6" s="111"/>
      <c r="M6" s="1"/>
    </row>
    <row r="7" spans="1:13" ht="15.75">
      <c r="A7" s="109"/>
      <c r="B7" s="111"/>
      <c r="C7" s="111"/>
      <c r="D7" s="114"/>
      <c r="E7" s="114"/>
      <c r="F7" s="114"/>
      <c r="G7" s="116"/>
      <c r="H7" s="117"/>
      <c r="I7" s="111"/>
      <c r="J7" s="111"/>
      <c r="K7" s="111"/>
      <c r="L7" s="111"/>
      <c r="M7" s="1"/>
    </row>
    <row r="8" spans="1:13" ht="16.5" thickBot="1">
      <c r="A8" s="109"/>
      <c r="B8" s="111"/>
      <c r="C8" s="111"/>
      <c r="D8" s="118"/>
      <c r="E8" s="118"/>
      <c r="F8" s="111"/>
      <c r="G8" s="111"/>
      <c r="H8" s="111"/>
      <c r="I8" s="111"/>
      <c r="J8" s="111"/>
      <c r="K8" s="111"/>
      <c r="L8" s="111"/>
      <c r="M8" s="1"/>
    </row>
    <row r="9" spans="1:13" ht="15.75">
      <c r="A9" s="109"/>
      <c r="B9" s="267" t="s">
        <v>8</v>
      </c>
      <c r="C9" s="82"/>
      <c r="D9" s="75"/>
      <c r="E9" s="75"/>
      <c r="F9" s="75"/>
      <c r="G9" s="61" t="s">
        <v>9</v>
      </c>
      <c r="H9" s="61"/>
      <c r="I9" s="61" t="s">
        <v>10</v>
      </c>
      <c r="J9" s="266" t="s">
        <v>11</v>
      </c>
      <c r="K9" s="266"/>
      <c r="L9" s="76"/>
      <c r="M9" s="1"/>
    </row>
    <row r="10" spans="1:13" ht="15.75">
      <c r="A10" s="109"/>
      <c r="B10" s="268"/>
      <c r="C10" s="83"/>
      <c r="D10" s="62" t="s">
        <v>12</v>
      </c>
      <c r="E10" s="63"/>
      <c r="F10" s="119" t="s">
        <v>13</v>
      </c>
      <c r="G10" s="120" t="s">
        <v>6</v>
      </c>
      <c r="H10" s="85" t="s">
        <v>14</v>
      </c>
      <c r="I10" s="64" t="s">
        <v>15</v>
      </c>
      <c r="J10" s="85" t="s">
        <v>16</v>
      </c>
      <c r="K10" s="85" t="s">
        <v>17</v>
      </c>
      <c r="L10" s="86"/>
      <c r="M10" s="1"/>
    </row>
    <row r="11" spans="1:13" ht="4.5" customHeight="1">
      <c r="A11" s="109"/>
      <c r="B11" s="268"/>
      <c r="C11" s="83"/>
      <c r="D11" s="65"/>
      <c r="E11" s="65"/>
      <c r="F11" s="96"/>
      <c r="G11" s="121"/>
      <c r="H11" s="66"/>
      <c r="I11" s="66"/>
      <c r="J11" s="66"/>
      <c r="K11" s="66"/>
      <c r="L11" s="86"/>
      <c r="M11" s="1"/>
    </row>
    <row r="12" spans="1:13" ht="15.75">
      <c r="A12" s="109"/>
      <c r="B12" s="268"/>
      <c r="C12" s="83"/>
      <c r="D12" s="65" t="s">
        <v>18</v>
      </c>
      <c r="E12" s="65"/>
      <c r="F12" s="96" t="s">
        <v>19</v>
      </c>
      <c r="G12" s="94">
        <v>3</v>
      </c>
      <c r="H12" s="95">
        <v>120</v>
      </c>
      <c r="I12" s="94">
        <v>85</v>
      </c>
      <c r="J12" s="99">
        <f aca="true" t="shared" si="0" ref="J12:J17">G12*H12*(I12/2000)</f>
        <v>15.3</v>
      </c>
      <c r="K12" s="122">
        <f aca="true" t="shared" si="1" ref="K12:K18">J12*$E$5</f>
        <v>3825</v>
      </c>
      <c r="L12" s="86"/>
      <c r="M12" s="1"/>
    </row>
    <row r="13" spans="1:13" ht="15.75">
      <c r="A13" s="109"/>
      <c r="B13" s="268"/>
      <c r="C13" s="83"/>
      <c r="D13" s="65" t="s">
        <v>20</v>
      </c>
      <c r="E13" s="65"/>
      <c r="F13" s="96" t="s">
        <v>19</v>
      </c>
      <c r="G13" s="94">
        <v>15</v>
      </c>
      <c r="H13" s="95">
        <v>240</v>
      </c>
      <c r="I13" s="94">
        <v>82</v>
      </c>
      <c r="J13" s="99">
        <f t="shared" si="0"/>
        <v>147.6</v>
      </c>
      <c r="K13" s="122">
        <f t="shared" si="1"/>
        <v>36900</v>
      </c>
      <c r="L13" s="86"/>
      <c r="M13" s="1"/>
    </row>
    <row r="14" spans="1:13" ht="15.75">
      <c r="A14" s="109"/>
      <c r="B14" s="268"/>
      <c r="C14" s="83"/>
      <c r="D14" s="65" t="s">
        <v>21</v>
      </c>
      <c r="E14" s="65"/>
      <c r="F14" s="96" t="s">
        <v>19</v>
      </c>
      <c r="G14" s="94">
        <v>0</v>
      </c>
      <c r="H14" s="95">
        <v>0</v>
      </c>
      <c r="I14" s="94">
        <v>0</v>
      </c>
      <c r="J14" s="99">
        <f t="shared" si="0"/>
        <v>0</v>
      </c>
      <c r="K14" s="122">
        <f t="shared" si="1"/>
        <v>0</v>
      </c>
      <c r="L14" s="86"/>
      <c r="M14" s="1"/>
    </row>
    <row r="15" spans="1:13" ht="15.75">
      <c r="A15" s="109"/>
      <c r="B15" s="268"/>
      <c r="C15" s="83"/>
      <c r="D15" s="65" t="s">
        <v>22</v>
      </c>
      <c r="E15" s="65"/>
      <c r="F15" s="96" t="s">
        <v>23</v>
      </c>
      <c r="G15" s="94">
        <v>0</v>
      </c>
      <c r="H15" s="95">
        <v>0</v>
      </c>
      <c r="I15" s="94">
        <v>0</v>
      </c>
      <c r="J15" s="99">
        <f>G15*H15*I15</f>
        <v>0</v>
      </c>
      <c r="K15" s="122">
        <f t="shared" si="1"/>
        <v>0</v>
      </c>
      <c r="L15" s="86"/>
      <c r="M15" s="1"/>
    </row>
    <row r="16" spans="1:13" ht="15.75">
      <c r="A16" s="109"/>
      <c r="B16" s="268"/>
      <c r="C16" s="83"/>
      <c r="D16" s="65" t="s">
        <v>24</v>
      </c>
      <c r="E16" s="65"/>
      <c r="F16" s="96" t="s">
        <v>19</v>
      </c>
      <c r="G16" s="94">
        <v>1.6</v>
      </c>
      <c r="H16" s="95">
        <v>90</v>
      </c>
      <c r="I16" s="94">
        <v>250</v>
      </c>
      <c r="J16" s="99">
        <f t="shared" si="0"/>
        <v>18</v>
      </c>
      <c r="K16" s="122">
        <f t="shared" si="1"/>
        <v>4500</v>
      </c>
      <c r="L16" s="86"/>
      <c r="M16" s="1"/>
    </row>
    <row r="17" spans="1:13" ht="15.75">
      <c r="A17" s="109"/>
      <c r="B17" s="268"/>
      <c r="C17" s="83"/>
      <c r="D17" s="65" t="s">
        <v>25</v>
      </c>
      <c r="E17" s="65"/>
      <c r="F17" s="96" t="s">
        <v>19</v>
      </c>
      <c r="G17" s="94">
        <v>1.1</v>
      </c>
      <c r="H17" s="95">
        <v>365</v>
      </c>
      <c r="I17" s="94">
        <v>50</v>
      </c>
      <c r="J17" s="99">
        <f t="shared" si="0"/>
        <v>10.037500000000001</v>
      </c>
      <c r="K17" s="122">
        <f t="shared" si="1"/>
        <v>2509.3750000000005</v>
      </c>
      <c r="L17" s="86"/>
      <c r="M17" s="1"/>
    </row>
    <row r="18" spans="1:13" ht="15.75">
      <c r="A18" s="109"/>
      <c r="B18" s="268"/>
      <c r="C18" s="83"/>
      <c r="D18" s="65" t="s">
        <v>26</v>
      </c>
      <c r="E18" s="65"/>
      <c r="F18" s="96" t="s">
        <v>23</v>
      </c>
      <c r="G18" s="94">
        <v>0</v>
      </c>
      <c r="H18" s="95">
        <v>0</v>
      </c>
      <c r="I18" s="94">
        <v>0</v>
      </c>
      <c r="J18" s="99">
        <f>G18*H18*I18</f>
        <v>0</v>
      </c>
      <c r="K18" s="122">
        <f t="shared" si="1"/>
        <v>0</v>
      </c>
      <c r="L18" s="86"/>
      <c r="M18" s="1"/>
    </row>
    <row r="19" spans="1:13" ht="4.5" customHeight="1" thickBot="1">
      <c r="A19" s="109"/>
      <c r="B19" s="268"/>
      <c r="C19" s="83"/>
      <c r="D19" s="67"/>
      <c r="E19" s="67"/>
      <c r="F19" s="123"/>
      <c r="G19" s="124"/>
      <c r="H19" s="125"/>
      <c r="I19" s="124"/>
      <c r="J19" s="91"/>
      <c r="K19" s="126"/>
      <c r="L19" s="86"/>
      <c r="M19" s="1"/>
    </row>
    <row r="20" spans="1:13" ht="17.25" thickBot="1" thickTop="1">
      <c r="A20" s="109"/>
      <c r="B20" s="269"/>
      <c r="C20" s="92"/>
      <c r="D20" s="68" t="s">
        <v>27</v>
      </c>
      <c r="E20" s="68"/>
      <c r="F20" s="77"/>
      <c r="G20" s="127">
        <f>SUM(G12:G18)</f>
        <v>20.700000000000003</v>
      </c>
      <c r="H20" s="69"/>
      <c r="I20" s="69"/>
      <c r="J20" s="128">
        <f>SUM(J12:J18)</f>
        <v>190.9375</v>
      </c>
      <c r="K20" s="129">
        <f>SUM(K12:K18)</f>
        <v>47734.375</v>
      </c>
      <c r="L20" s="93"/>
      <c r="M20" s="1"/>
    </row>
    <row r="21" spans="1:13" ht="16.5" thickBot="1">
      <c r="A21" s="109"/>
      <c r="B21" s="111"/>
      <c r="C21" s="111"/>
      <c r="D21" s="118"/>
      <c r="E21" s="118"/>
      <c r="F21" s="111"/>
      <c r="G21" s="111"/>
      <c r="H21" s="111"/>
      <c r="I21" s="111"/>
      <c r="J21" s="65"/>
      <c r="K21" s="88"/>
      <c r="L21" s="111"/>
      <c r="M21" s="1"/>
    </row>
    <row r="22" spans="1:13" ht="15.75" customHeight="1">
      <c r="A22" s="109"/>
      <c r="B22" s="267" t="s">
        <v>28</v>
      </c>
      <c r="C22" s="82"/>
      <c r="D22" s="75"/>
      <c r="E22" s="75"/>
      <c r="F22" s="75"/>
      <c r="G22" s="75"/>
      <c r="H22" s="61" t="s">
        <v>10</v>
      </c>
      <c r="I22" s="75"/>
      <c r="J22" s="266" t="s">
        <v>11</v>
      </c>
      <c r="K22" s="266"/>
      <c r="L22" s="76"/>
      <c r="M22" s="1"/>
    </row>
    <row r="23" spans="1:13" ht="15.75">
      <c r="A23" s="109"/>
      <c r="B23" s="268"/>
      <c r="C23" s="83"/>
      <c r="D23" s="62" t="s">
        <v>12</v>
      </c>
      <c r="E23" s="62"/>
      <c r="F23" s="70" t="s">
        <v>13</v>
      </c>
      <c r="G23" s="64" t="s">
        <v>125</v>
      </c>
      <c r="H23" s="64" t="s">
        <v>15</v>
      </c>
      <c r="I23" s="84"/>
      <c r="J23" s="85" t="s">
        <v>16</v>
      </c>
      <c r="K23" s="85" t="s">
        <v>17</v>
      </c>
      <c r="L23" s="86"/>
      <c r="M23" s="1"/>
    </row>
    <row r="24" spans="1:13" ht="4.5" customHeight="1">
      <c r="A24" s="109"/>
      <c r="B24" s="268"/>
      <c r="C24" s="83"/>
      <c r="D24" s="65"/>
      <c r="E24" s="65"/>
      <c r="F24" s="96"/>
      <c r="G24" s="66"/>
      <c r="H24" s="66"/>
      <c r="I24" s="88"/>
      <c r="J24" s="66"/>
      <c r="K24" s="66"/>
      <c r="L24" s="86"/>
      <c r="M24" s="1"/>
    </row>
    <row r="25" spans="1:13" ht="15.75">
      <c r="A25" s="109"/>
      <c r="B25" s="268"/>
      <c r="C25" s="83"/>
      <c r="D25" s="65" t="s">
        <v>29</v>
      </c>
      <c r="E25" s="65"/>
      <c r="F25" s="96" t="s">
        <v>30</v>
      </c>
      <c r="G25" s="107">
        <v>150</v>
      </c>
      <c r="H25" s="108">
        <v>9</v>
      </c>
      <c r="I25" s="130"/>
      <c r="J25" s="99">
        <f aca="true" t="shared" si="2" ref="J25:J32">K25/$E$5</f>
        <v>5.4</v>
      </c>
      <c r="K25" s="122">
        <f aca="true" t="shared" si="3" ref="K25:K32">G25*H25</f>
        <v>1350</v>
      </c>
      <c r="L25" s="86"/>
      <c r="M25" s="1"/>
    </row>
    <row r="26" spans="1:13" ht="15.75">
      <c r="A26" s="109"/>
      <c r="B26" s="268"/>
      <c r="C26" s="83"/>
      <c r="D26" s="65" t="s">
        <v>31</v>
      </c>
      <c r="E26" s="65"/>
      <c r="F26" s="96" t="s">
        <v>32</v>
      </c>
      <c r="G26" s="107">
        <v>2100</v>
      </c>
      <c r="H26" s="108">
        <v>1.75</v>
      </c>
      <c r="I26" s="130"/>
      <c r="J26" s="99">
        <f t="shared" si="2"/>
        <v>14.7</v>
      </c>
      <c r="K26" s="122">
        <f t="shared" si="3"/>
        <v>3675</v>
      </c>
      <c r="L26" s="86"/>
      <c r="M26" s="1"/>
    </row>
    <row r="27" spans="1:13" ht="15.75">
      <c r="A27" s="109"/>
      <c r="B27" s="268"/>
      <c r="C27" s="83"/>
      <c r="D27" s="65" t="s">
        <v>31</v>
      </c>
      <c r="E27" s="65"/>
      <c r="F27" s="96" t="s">
        <v>32</v>
      </c>
      <c r="G27" s="107">
        <v>0</v>
      </c>
      <c r="H27" s="108">
        <v>0</v>
      </c>
      <c r="I27" s="130"/>
      <c r="J27" s="99">
        <f t="shared" si="2"/>
        <v>0</v>
      </c>
      <c r="K27" s="122">
        <f t="shared" si="3"/>
        <v>0</v>
      </c>
      <c r="L27" s="86"/>
      <c r="M27" s="1"/>
    </row>
    <row r="28" spans="1:13" ht="15.75">
      <c r="A28" s="109"/>
      <c r="B28" s="268"/>
      <c r="C28" s="83"/>
      <c r="D28" s="65" t="s">
        <v>31</v>
      </c>
      <c r="E28" s="65"/>
      <c r="F28" s="96" t="s">
        <v>30</v>
      </c>
      <c r="G28" s="107">
        <v>0</v>
      </c>
      <c r="H28" s="108">
        <v>0</v>
      </c>
      <c r="I28" s="130"/>
      <c r="J28" s="99">
        <f t="shared" si="2"/>
        <v>0</v>
      </c>
      <c r="K28" s="122">
        <f t="shared" si="3"/>
        <v>0</v>
      </c>
      <c r="L28" s="86"/>
      <c r="M28" s="1"/>
    </row>
    <row r="29" spans="1:13" ht="15.75">
      <c r="A29" s="109"/>
      <c r="B29" s="268"/>
      <c r="C29" s="83"/>
      <c r="D29" s="65" t="s">
        <v>33</v>
      </c>
      <c r="E29" s="65"/>
      <c r="F29" s="106" t="s">
        <v>34</v>
      </c>
      <c r="G29" s="103">
        <v>0</v>
      </c>
      <c r="H29" s="104">
        <v>0</v>
      </c>
      <c r="I29" s="130"/>
      <c r="J29" s="99">
        <f t="shared" si="2"/>
        <v>0</v>
      </c>
      <c r="K29" s="71">
        <f t="shared" si="3"/>
        <v>0</v>
      </c>
      <c r="L29" s="86"/>
      <c r="M29" s="1"/>
    </row>
    <row r="30" spans="1:13" ht="15.75">
      <c r="A30" s="109"/>
      <c r="B30" s="268"/>
      <c r="C30" s="83"/>
      <c r="D30" s="65" t="s">
        <v>35</v>
      </c>
      <c r="E30" s="65"/>
      <c r="F30" s="96" t="s">
        <v>36</v>
      </c>
      <c r="G30" s="107">
        <v>2130</v>
      </c>
      <c r="H30" s="108">
        <v>1</v>
      </c>
      <c r="I30" s="130"/>
      <c r="J30" s="99">
        <f t="shared" si="2"/>
        <v>8.52</v>
      </c>
      <c r="K30" s="122">
        <f t="shared" si="3"/>
        <v>2130</v>
      </c>
      <c r="L30" s="86"/>
      <c r="M30" s="1"/>
    </row>
    <row r="31" spans="1:13" ht="15.75">
      <c r="A31" s="109"/>
      <c r="B31" s="268"/>
      <c r="C31" s="83"/>
      <c r="D31" s="65" t="s">
        <v>37</v>
      </c>
      <c r="E31" s="65"/>
      <c r="F31" s="96" t="s">
        <v>36</v>
      </c>
      <c r="G31" s="107">
        <v>4923</v>
      </c>
      <c r="H31" s="108">
        <v>1</v>
      </c>
      <c r="I31" s="130"/>
      <c r="J31" s="99">
        <f t="shared" si="2"/>
        <v>19.692</v>
      </c>
      <c r="K31" s="122">
        <f t="shared" si="3"/>
        <v>4923</v>
      </c>
      <c r="L31" s="86"/>
      <c r="M31" s="1"/>
    </row>
    <row r="32" spans="1:13" ht="15.75">
      <c r="A32" s="109"/>
      <c r="B32" s="268"/>
      <c r="C32" s="83"/>
      <c r="D32" s="65" t="s">
        <v>38</v>
      </c>
      <c r="E32" s="65"/>
      <c r="F32" s="96" t="s">
        <v>36</v>
      </c>
      <c r="G32" s="107">
        <v>0</v>
      </c>
      <c r="H32" s="108">
        <v>0</v>
      </c>
      <c r="I32" s="130"/>
      <c r="J32" s="99">
        <f t="shared" si="2"/>
        <v>0</v>
      </c>
      <c r="K32" s="122">
        <f t="shared" si="3"/>
        <v>0</v>
      </c>
      <c r="L32" s="86"/>
      <c r="M32" s="1"/>
    </row>
    <row r="33" spans="1:13" ht="4.5" customHeight="1" thickBot="1">
      <c r="A33" s="109"/>
      <c r="B33" s="268"/>
      <c r="C33" s="83"/>
      <c r="D33" s="67"/>
      <c r="E33" s="67"/>
      <c r="F33" s="123"/>
      <c r="G33" s="131"/>
      <c r="H33" s="132"/>
      <c r="I33" s="133"/>
      <c r="J33" s="91"/>
      <c r="K33" s="126"/>
      <c r="L33" s="86"/>
      <c r="M33" s="1"/>
    </row>
    <row r="34" spans="1:13" ht="17.25" thickBot="1" thickTop="1">
      <c r="A34" s="109"/>
      <c r="B34" s="269"/>
      <c r="C34" s="92"/>
      <c r="D34" s="68" t="s">
        <v>133</v>
      </c>
      <c r="E34" s="72"/>
      <c r="F34" s="77"/>
      <c r="G34" s="77"/>
      <c r="H34" s="77"/>
      <c r="I34" s="77"/>
      <c r="J34" s="73">
        <f>SUM(J25:J32)</f>
        <v>48.312</v>
      </c>
      <c r="K34" s="74">
        <f>SUM(K25:K32)</f>
        <v>12078</v>
      </c>
      <c r="L34" s="93"/>
      <c r="M34" s="1"/>
    </row>
    <row r="35" spans="1:13" ht="16.5" thickBot="1">
      <c r="A35" s="109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"/>
    </row>
    <row r="36" spans="1:13" ht="15.75">
      <c r="A36" s="109"/>
      <c r="B36" s="267" t="s">
        <v>39</v>
      </c>
      <c r="C36" s="82"/>
      <c r="D36" s="75"/>
      <c r="E36" s="75"/>
      <c r="F36" s="75"/>
      <c r="G36" s="75"/>
      <c r="H36" s="61" t="s">
        <v>10</v>
      </c>
      <c r="I36" s="75"/>
      <c r="J36" s="266" t="s">
        <v>11</v>
      </c>
      <c r="K36" s="266"/>
      <c r="L36" s="76"/>
      <c r="M36" s="1"/>
    </row>
    <row r="37" spans="1:13" ht="15.75">
      <c r="A37" s="109"/>
      <c r="B37" s="268"/>
      <c r="C37" s="83"/>
      <c r="D37" s="62" t="s">
        <v>12</v>
      </c>
      <c r="E37" s="62"/>
      <c r="F37" s="70" t="s">
        <v>13</v>
      </c>
      <c r="G37" s="64" t="s">
        <v>125</v>
      </c>
      <c r="H37" s="64" t="s">
        <v>40</v>
      </c>
      <c r="I37" s="84"/>
      <c r="J37" s="85" t="s">
        <v>16</v>
      </c>
      <c r="K37" s="85" t="s">
        <v>17</v>
      </c>
      <c r="L37" s="86"/>
      <c r="M37" s="1"/>
    </row>
    <row r="38" spans="1:13" ht="4.5" customHeight="1">
      <c r="A38" s="109"/>
      <c r="B38" s="268"/>
      <c r="C38" s="83"/>
      <c r="D38" s="65"/>
      <c r="E38" s="65"/>
      <c r="F38" s="96"/>
      <c r="G38" s="66"/>
      <c r="H38" s="66"/>
      <c r="I38" s="88"/>
      <c r="J38" s="66"/>
      <c r="K38" s="66"/>
      <c r="L38" s="86"/>
      <c r="M38" s="1"/>
    </row>
    <row r="39" spans="1:13" ht="15.75">
      <c r="A39" s="109"/>
      <c r="B39" s="268"/>
      <c r="C39" s="83"/>
      <c r="D39" s="65" t="s">
        <v>41</v>
      </c>
      <c r="E39" s="65"/>
      <c r="F39" s="96" t="s">
        <v>42</v>
      </c>
      <c r="G39" s="103">
        <v>250</v>
      </c>
      <c r="H39" s="104">
        <v>7.5</v>
      </c>
      <c r="I39" s="130"/>
      <c r="J39" s="99">
        <f aca="true" t="shared" si="4" ref="J39:J46">K39/$E$5</f>
        <v>7.5</v>
      </c>
      <c r="K39" s="71">
        <f aca="true" t="shared" si="5" ref="K39:K46">G39*H39</f>
        <v>1875</v>
      </c>
      <c r="L39" s="86"/>
      <c r="M39" s="1"/>
    </row>
    <row r="40" spans="1:13" ht="15.75">
      <c r="A40" s="109"/>
      <c r="B40" s="268"/>
      <c r="C40" s="83"/>
      <c r="D40" s="65" t="s">
        <v>43</v>
      </c>
      <c r="E40" s="65"/>
      <c r="F40" s="96" t="s">
        <v>42</v>
      </c>
      <c r="G40" s="103">
        <v>250</v>
      </c>
      <c r="H40" s="104">
        <v>3.6</v>
      </c>
      <c r="I40" s="130"/>
      <c r="J40" s="99">
        <f t="shared" si="4"/>
        <v>3.6</v>
      </c>
      <c r="K40" s="71">
        <f t="shared" si="5"/>
        <v>900</v>
      </c>
      <c r="L40" s="86"/>
      <c r="M40" s="1"/>
    </row>
    <row r="41" spans="1:13" ht="15.75">
      <c r="A41" s="109"/>
      <c r="B41" s="268"/>
      <c r="C41" s="83"/>
      <c r="D41" s="65" t="s">
        <v>44</v>
      </c>
      <c r="E41" s="65"/>
      <c r="F41" s="96" t="s">
        <v>42</v>
      </c>
      <c r="G41" s="103">
        <v>0</v>
      </c>
      <c r="H41" s="104">
        <v>0</v>
      </c>
      <c r="I41" s="130"/>
      <c r="J41" s="99">
        <f t="shared" si="4"/>
        <v>0</v>
      </c>
      <c r="K41" s="71">
        <f t="shared" si="5"/>
        <v>0</v>
      </c>
      <c r="L41" s="86"/>
      <c r="M41" s="1"/>
    </row>
    <row r="42" spans="1:13" ht="15.75">
      <c r="A42" s="109"/>
      <c r="B42" s="268"/>
      <c r="C42" s="83"/>
      <c r="D42" s="65" t="s">
        <v>45</v>
      </c>
      <c r="E42" s="65"/>
      <c r="F42" s="96" t="s">
        <v>46</v>
      </c>
      <c r="G42" s="103">
        <v>250</v>
      </c>
      <c r="H42" s="104">
        <v>2.5</v>
      </c>
      <c r="I42" s="130"/>
      <c r="J42" s="99">
        <f t="shared" si="4"/>
        <v>2.5</v>
      </c>
      <c r="K42" s="71">
        <f t="shared" si="5"/>
        <v>625</v>
      </c>
      <c r="L42" s="86"/>
      <c r="M42" s="1"/>
    </row>
    <row r="43" spans="1:13" ht="15.75">
      <c r="A43" s="109"/>
      <c r="B43" s="268"/>
      <c r="C43" s="83"/>
      <c r="D43" s="65" t="s">
        <v>47</v>
      </c>
      <c r="E43" s="65"/>
      <c r="F43" s="96" t="s">
        <v>48</v>
      </c>
      <c r="G43" s="103">
        <v>10</v>
      </c>
      <c r="H43" s="104">
        <v>30</v>
      </c>
      <c r="I43" s="130"/>
      <c r="J43" s="99">
        <f t="shared" si="4"/>
        <v>1.2</v>
      </c>
      <c r="K43" s="71">
        <f t="shared" si="5"/>
        <v>300</v>
      </c>
      <c r="L43" s="86"/>
      <c r="M43" s="1"/>
    </row>
    <row r="44" spans="1:13" ht="15.75">
      <c r="A44" s="109"/>
      <c r="B44" s="268"/>
      <c r="C44" s="83"/>
      <c r="D44" s="65" t="s">
        <v>49</v>
      </c>
      <c r="E44" s="65"/>
      <c r="F44" s="96" t="s">
        <v>42</v>
      </c>
      <c r="G44" s="103">
        <v>250</v>
      </c>
      <c r="H44" s="104">
        <v>9</v>
      </c>
      <c r="I44" s="130"/>
      <c r="J44" s="99">
        <f t="shared" si="4"/>
        <v>9</v>
      </c>
      <c r="K44" s="71">
        <f t="shared" si="5"/>
        <v>2250</v>
      </c>
      <c r="L44" s="86"/>
      <c r="M44" s="1"/>
    </row>
    <row r="45" spans="1:13" ht="15.75">
      <c r="A45" s="109"/>
      <c r="B45" s="268"/>
      <c r="C45" s="83"/>
      <c r="D45" s="65" t="s">
        <v>50</v>
      </c>
      <c r="E45" s="65"/>
      <c r="F45" s="96" t="s">
        <v>42</v>
      </c>
      <c r="G45" s="103">
        <v>250</v>
      </c>
      <c r="H45" s="104">
        <v>0.75</v>
      </c>
      <c r="I45" s="130"/>
      <c r="J45" s="99">
        <f t="shared" si="4"/>
        <v>0.75</v>
      </c>
      <c r="K45" s="71">
        <f t="shared" si="5"/>
        <v>187.5</v>
      </c>
      <c r="L45" s="86"/>
      <c r="M45" s="1"/>
    </row>
    <row r="46" spans="1:13" ht="15.75">
      <c r="A46" s="109"/>
      <c r="B46" s="268"/>
      <c r="C46" s="83"/>
      <c r="D46" s="65" t="s">
        <v>51</v>
      </c>
      <c r="E46" s="65"/>
      <c r="F46" s="105" t="s">
        <v>34</v>
      </c>
      <c r="G46" s="103">
        <v>0</v>
      </c>
      <c r="H46" s="104">
        <v>0</v>
      </c>
      <c r="I46" s="130"/>
      <c r="J46" s="99">
        <f t="shared" si="4"/>
        <v>0</v>
      </c>
      <c r="K46" s="71">
        <f t="shared" si="5"/>
        <v>0</v>
      </c>
      <c r="L46" s="86"/>
      <c r="M46" s="1"/>
    </row>
    <row r="47" spans="1:13" ht="4.5" customHeight="1" thickBot="1">
      <c r="A47" s="109"/>
      <c r="B47" s="268"/>
      <c r="C47" s="83"/>
      <c r="D47" s="67"/>
      <c r="E47" s="67"/>
      <c r="F47" s="134"/>
      <c r="G47" s="135"/>
      <c r="H47" s="136"/>
      <c r="I47" s="133"/>
      <c r="J47" s="91"/>
      <c r="K47" s="97"/>
      <c r="L47" s="86"/>
      <c r="M47" s="1"/>
    </row>
    <row r="48" spans="1:13" ht="17.25" thickBot="1" thickTop="1">
      <c r="A48" s="109"/>
      <c r="B48" s="269"/>
      <c r="C48" s="92"/>
      <c r="D48" s="68" t="s">
        <v>52</v>
      </c>
      <c r="E48" s="68"/>
      <c r="F48" s="77"/>
      <c r="G48" s="77"/>
      <c r="H48" s="77"/>
      <c r="I48" s="77"/>
      <c r="J48" s="78">
        <f>SUM(J39:J46)</f>
        <v>24.549999999999997</v>
      </c>
      <c r="K48" s="79">
        <f>SUM(K39:K46)</f>
        <v>6137.5</v>
      </c>
      <c r="L48" s="93"/>
      <c r="M48" s="1"/>
    </row>
    <row r="49" spans="1:13" ht="16.5" thickBot="1">
      <c r="A49" s="109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"/>
    </row>
    <row r="50" spans="1:13" ht="15.75">
      <c r="A50" s="109"/>
      <c r="B50" s="267" t="s">
        <v>53</v>
      </c>
      <c r="C50" s="82"/>
      <c r="D50" s="75"/>
      <c r="E50" s="75"/>
      <c r="F50" s="75"/>
      <c r="G50" s="75"/>
      <c r="H50" s="61" t="s">
        <v>10</v>
      </c>
      <c r="I50" s="75"/>
      <c r="J50" s="266" t="s">
        <v>11</v>
      </c>
      <c r="K50" s="266"/>
      <c r="L50" s="76"/>
      <c r="M50" s="1"/>
    </row>
    <row r="51" spans="1:13" ht="15.75">
      <c r="A51" s="109"/>
      <c r="B51" s="268"/>
      <c r="C51" s="83"/>
      <c r="D51" s="62" t="s">
        <v>12</v>
      </c>
      <c r="E51" s="62"/>
      <c r="F51" s="70" t="s">
        <v>13</v>
      </c>
      <c r="G51" s="64" t="s">
        <v>125</v>
      </c>
      <c r="H51" s="64" t="s">
        <v>40</v>
      </c>
      <c r="I51" s="84"/>
      <c r="J51" s="85" t="s">
        <v>16</v>
      </c>
      <c r="K51" s="85" t="s">
        <v>17</v>
      </c>
      <c r="L51" s="86"/>
      <c r="M51" s="1"/>
    </row>
    <row r="52" spans="1:13" ht="4.5" customHeight="1">
      <c r="A52" s="109"/>
      <c r="B52" s="268"/>
      <c r="C52" s="83"/>
      <c r="D52" s="65"/>
      <c r="E52" s="65"/>
      <c r="F52" s="96"/>
      <c r="G52" s="66"/>
      <c r="H52" s="66"/>
      <c r="I52" s="88"/>
      <c r="J52" s="66"/>
      <c r="K52" s="66"/>
      <c r="L52" s="86"/>
      <c r="M52" s="1"/>
    </row>
    <row r="53" spans="1:13" ht="15.75">
      <c r="A53" s="109"/>
      <c r="B53" s="268"/>
      <c r="C53" s="83"/>
      <c r="D53" s="65" t="s">
        <v>54</v>
      </c>
      <c r="E53" s="65"/>
      <c r="F53" s="105" t="s">
        <v>42</v>
      </c>
      <c r="G53" s="103">
        <v>250</v>
      </c>
      <c r="H53" s="104">
        <v>3.24</v>
      </c>
      <c r="I53" s="130"/>
      <c r="J53" s="99">
        <f>K53/$E$5</f>
        <v>3.24</v>
      </c>
      <c r="K53" s="71">
        <f>G53*H53</f>
        <v>810</v>
      </c>
      <c r="L53" s="86"/>
      <c r="M53" s="1"/>
    </row>
    <row r="54" spans="1:13" ht="15.75">
      <c r="A54" s="109"/>
      <c r="B54" s="268"/>
      <c r="C54" s="83"/>
      <c r="D54" s="65" t="s">
        <v>55</v>
      </c>
      <c r="E54" s="65"/>
      <c r="F54" s="105" t="s">
        <v>42</v>
      </c>
      <c r="G54" s="103">
        <v>250</v>
      </c>
      <c r="H54" s="104">
        <v>1</v>
      </c>
      <c r="I54" s="130"/>
      <c r="J54" s="99">
        <f>K54/$E$5</f>
        <v>1</v>
      </c>
      <c r="K54" s="71">
        <f>G54*H54</f>
        <v>250</v>
      </c>
      <c r="L54" s="86"/>
      <c r="M54" s="1"/>
    </row>
    <row r="55" spans="1:13" ht="15.75">
      <c r="A55" s="109"/>
      <c r="B55" s="268"/>
      <c r="C55" s="83"/>
      <c r="D55" s="65" t="s">
        <v>56</v>
      </c>
      <c r="E55" s="65"/>
      <c r="F55" s="105" t="s">
        <v>42</v>
      </c>
      <c r="G55" s="103">
        <v>250</v>
      </c>
      <c r="H55" s="104">
        <v>3.2</v>
      </c>
      <c r="I55" s="130"/>
      <c r="J55" s="99">
        <f>K55/$E$5</f>
        <v>3.2</v>
      </c>
      <c r="K55" s="71">
        <f>G55*H55</f>
        <v>800</v>
      </c>
      <c r="L55" s="86"/>
      <c r="M55" s="1"/>
    </row>
    <row r="56" spans="1:13" ht="15.75">
      <c r="A56" s="109"/>
      <c r="B56" s="268"/>
      <c r="C56" s="83"/>
      <c r="D56" s="65" t="s">
        <v>57</v>
      </c>
      <c r="E56" s="65"/>
      <c r="F56" s="105" t="s">
        <v>42</v>
      </c>
      <c r="G56" s="103">
        <v>250</v>
      </c>
      <c r="H56" s="104">
        <v>1.5</v>
      </c>
      <c r="I56" s="130"/>
      <c r="J56" s="99">
        <f>K56/$E$5</f>
        <v>1.5</v>
      </c>
      <c r="K56" s="71">
        <f>G56*H56</f>
        <v>375</v>
      </c>
      <c r="L56" s="86"/>
      <c r="M56" s="1"/>
    </row>
    <row r="57" spans="1:13" ht="4.5" customHeight="1" thickBot="1">
      <c r="A57" s="109"/>
      <c r="B57" s="268"/>
      <c r="C57" s="83"/>
      <c r="D57" s="67"/>
      <c r="E57" s="67"/>
      <c r="F57" s="134"/>
      <c r="G57" s="135"/>
      <c r="H57" s="136"/>
      <c r="I57" s="133"/>
      <c r="J57" s="91"/>
      <c r="K57" s="97"/>
      <c r="L57" s="86"/>
      <c r="M57" s="1"/>
    </row>
    <row r="58" spans="1:13" ht="17.25" thickBot="1" thickTop="1">
      <c r="A58" s="109"/>
      <c r="B58" s="269"/>
      <c r="C58" s="92"/>
      <c r="D58" s="68" t="s">
        <v>58</v>
      </c>
      <c r="E58" s="68"/>
      <c r="F58" s="77"/>
      <c r="G58" s="77"/>
      <c r="H58" s="77"/>
      <c r="I58" s="77"/>
      <c r="J58" s="78">
        <f>SUM(J53:J56)</f>
        <v>8.940000000000001</v>
      </c>
      <c r="K58" s="79">
        <f>SUM(K53:K56)</f>
        <v>2235</v>
      </c>
      <c r="L58" s="93"/>
      <c r="M58" s="1"/>
    </row>
    <row r="59" spans="1:13" ht="16.5" thickBot="1">
      <c r="A59" s="109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"/>
    </row>
    <row r="60" spans="1:13" ht="15.75">
      <c r="A60" s="109"/>
      <c r="B60" s="267" t="s">
        <v>59</v>
      </c>
      <c r="C60" s="82"/>
      <c r="D60" s="75"/>
      <c r="E60" s="75"/>
      <c r="F60" s="75"/>
      <c r="G60" s="75"/>
      <c r="H60" s="61" t="s">
        <v>10</v>
      </c>
      <c r="I60" s="75"/>
      <c r="J60" s="266" t="s">
        <v>11</v>
      </c>
      <c r="K60" s="266"/>
      <c r="L60" s="76"/>
      <c r="M60" s="1"/>
    </row>
    <row r="61" spans="1:13" ht="15.75">
      <c r="A61" s="109"/>
      <c r="B61" s="268"/>
      <c r="C61" s="83"/>
      <c r="D61" s="62" t="s">
        <v>12</v>
      </c>
      <c r="E61" s="62"/>
      <c r="F61" s="70" t="s">
        <v>13</v>
      </c>
      <c r="G61" s="64" t="s">
        <v>125</v>
      </c>
      <c r="H61" s="64" t="s">
        <v>40</v>
      </c>
      <c r="I61" s="84"/>
      <c r="J61" s="85" t="s">
        <v>16</v>
      </c>
      <c r="K61" s="85" t="s">
        <v>17</v>
      </c>
      <c r="L61" s="86"/>
      <c r="M61" s="1"/>
    </row>
    <row r="62" spans="1:13" ht="4.5" customHeight="1">
      <c r="A62" s="109"/>
      <c r="B62" s="268"/>
      <c r="C62" s="83"/>
      <c r="D62" s="65"/>
      <c r="E62" s="65"/>
      <c r="F62" s="96"/>
      <c r="G62" s="66"/>
      <c r="H62" s="66"/>
      <c r="I62" s="88"/>
      <c r="J62" s="66"/>
      <c r="K62" s="66"/>
      <c r="L62" s="86"/>
      <c r="M62" s="1"/>
    </row>
    <row r="63" spans="1:13" ht="15.75">
      <c r="A63" s="109"/>
      <c r="B63" s="268"/>
      <c r="C63" s="83"/>
      <c r="D63" s="65" t="s">
        <v>60</v>
      </c>
      <c r="E63" s="65"/>
      <c r="F63" s="96" t="s">
        <v>61</v>
      </c>
      <c r="G63" s="103">
        <v>320</v>
      </c>
      <c r="H63" s="104">
        <v>2.5</v>
      </c>
      <c r="I63" s="130"/>
      <c r="J63" s="89">
        <f aca="true" t="shared" si="6" ref="J63:J69">K63/$E$5</f>
        <v>3.2</v>
      </c>
      <c r="K63" s="71">
        <f aca="true" t="shared" si="7" ref="K63:K69">G63*H63</f>
        <v>800</v>
      </c>
      <c r="L63" s="86"/>
      <c r="M63" s="1"/>
    </row>
    <row r="64" spans="1:13" ht="15.75">
      <c r="A64" s="109"/>
      <c r="B64" s="268"/>
      <c r="C64" s="83"/>
      <c r="D64" s="65" t="s">
        <v>62</v>
      </c>
      <c r="E64" s="65"/>
      <c r="F64" s="96" t="s">
        <v>121</v>
      </c>
      <c r="G64" s="103">
        <v>96444</v>
      </c>
      <c r="H64" s="104">
        <v>0.02</v>
      </c>
      <c r="I64" s="130"/>
      <c r="J64" s="99">
        <f t="shared" si="6"/>
        <v>7.715520000000001</v>
      </c>
      <c r="K64" s="71">
        <f t="shared" si="7"/>
        <v>1928.88</v>
      </c>
      <c r="L64" s="86"/>
      <c r="M64" s="1"/>
    </row>
    <row r="65" spans="1:13" ht="15.75">
      <c r="A65" s="109"/>
      <c r="B65" s="268"/>
      <c r="C65" s="83"/>
      <c r="D65" s="65" t="s">
        <v>63</v>
      </c>
      <c r="E65" s="65"/>
      <c r="F65" s="96" t="s">
        <v>0</v>
      </c>
      <c r="G65" s="103">
        <v>203</v>
      </c>
      <c r="H65" s="104">
        <v>1.35</v>
      </c>
      <c r="I65" s="130"/>
      <c r="J65" s="99">
        <f t="shared" si="6"/>
        <v>1.0962</v>
      </c>
      <c r="K65" s="71">
        <f t="shared" si="7"/>
        <v>274.05</v>
      </c>
      <c r="L65" s="86"/>
      <c r="M65" s="1"/>
    </row>
    <row r="66" spans="1:13" ht="15.75">
      <c r="A66" s="109"/>
      <c r="B66" s="268"/>
      <c r="C66" s="83"/>
      <c r="D66" s="65" t="s">
        <v>64</v>
      </c>
      <c r="E66" s="65"/>
      <c r="F66" s="96" t="s">
        <v>0</v>
      </c>
      <c r="G66" s="103">
        <v>203</v>
      </c>
      <c r="H66" s="104">
        <v>0.25</v>
      </c>
      <c r="I66" s="130"/>
      <c r="J66" s="99">
        <f t="shared" si="6"/>
        <v>0.203</v>
      </c>
      <c r="K66" s="71">
        <f t="shared" si="7"/>
        <v>50.75</v>
      </c>
      <c r="L66" s="86"/>
      <c r="M66" s="1"/>
    </row>
    <row r="67" spans="1:13" ht="15.75">
      <c r="A67" s="109"/>
      <c r="B67" s="268"/>
      <c r="C67" s="83"/>
      <c r="D67" s="65" t="s">
        <v>65</v>
      </c>
      <c r="E67" s="65"/>
      <c r="F67" s="96" t="s">
        <v>36</v>
      </c>
      <c r="G67" s="103">
        <v>0</v>
      </c>
      <c r="H67" s="104">
        <v>0</v>
      </c>
      <c r="I67" s="130"/>
      <c r="J67" s="99">
        <f t="shared" si="6"/>
        <v>0</v>
      </c>
      <c r="K67" s="71">
        <f t="shared" si="7"/>
        <v>0</v>
      </c>
      <c r="L67" s="86"/>
      <c r="M67" s="1"/>
    </row>
    <row r="68" spans="1:13" ht="15.75">
      <c r="A68" s="109"/>
      <c r="B68" s="268"/>
      <c r="C68" s="83"/>
      <c r="D68" s="65" t="s">
        <v>66</v>
      </c>
      <c r="E68" s="65"/>
      <c r="F68" s="106" t="s">
        <v>34</v>
      </c>
      <c r="G68" s="103">
        <v>0</v>
      </c>
      <c r="H68" s="104">
        <v>0</v>
      </c>
      <c r="I68" s="130"/>
      <c r="J68" s="99">
        <f t="shared" si="6"/>
        <v>0</v>
      </c>
      <c r="K68" s="71">
        <f t="shared" si="7"/>
        <v>0</v>
      </c>
      <c r="L68" s="86"/>
      <c r="M68" s="1"/>
    </row>
    <row r="69" spans="1:13" ht="15.75">
      <c r="A69" s="109"/>
      <c r="B69" s="268"/>
      <c r="C69" s="83"/>
      <c r="D69" s="65" t="s">
        <v>67</v>
      </c>
      <c r="E69" s="65"/>
      <c r="F69" s="106" t="s">
        <v>34</v>
      </c>
      <c r="G69" s="103">
        <v>0</v>
      </c>
      <c r="H69" s="104">
        <v>0</v>
      </c>
      <c r="I69" s="130"/>
      <c r="J69" s="99">
        <f t="shared" si="6"/>
        <v>0</v>
      </c>
      <c r="K69" s="71">
        <f t="shared" si="7"/>
        <v>0</v>
      </c>
      <c r="L69" s="86"/>
      <c r="M69" s="1"/>
    </row>
    <row r="70" spans="1:13" ht="4.5" customHeight="1" thickBot="1">
      <c r="A70" s="109"/>
      <c r="B70" s="268"/>
      <c r="C70" s="83"/>
      <c r="D70" s="67"/>
      <c r="E70" s="67"/>
      <c r="F70" s="134"/>
      <c r="G70" s="135"/>
      <c r="H70" s="136"/>
      <c r="I70" s="133"/>
      <c r="J70" s="91"/>
      <c r="K70" s="97"/>
      <c r="L70" s="86"/>
      <c r="M70" s="1"/>
    </row>
    <row r="71" spans="1:13" ht="17.25" thickBot="1" thickTop="1">
      <c r="A71" s="109"/>
      <c r="B71" s="269"/>
      <c r="C71" s="92"/>
      <c r="D71" s="68" t="s">
        <v>68</v>
      </c>
      <c r="E71" s="68"/>
      <c r="F71" s="77"/>
      <c r="G71" s="77"/>
      <c r="H71" s="77"/>
      <c r="I71" s="77"/>
      <c r="J71" s="78">
        <f>SUM(J63:J66)</f>
        <v>12.21472</v>
      </c>
      <c r="K71" s="79">
        <f>SUM(K63:K66)</f>
        <v>3053.6800000000003</v>
      </c>
      <c r="L71" s="93"/>
      <c r="M71" s="1"/>
    </row>
    <row r="72" spans="1:13" ht="16.5" thickBot="1">
      <c r="A72" s="109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"/>
    </row>
    <row r="73" spans="1:13" ht="15.75">
      <c r="A73" s="109"/>
      <c r="B73" s="267" t="s">
        <v>69</v>
      </c>
      <c r="C73" s="82"/>
      <c r="D73" s="75"/>
      <c r="E73" s="75"/>
      <c r="F73" s="80"/>
      <c r="G73" s="75"/>
      <c r="H73" s="61" t="s">
        <v>10</v>
      </c>
      <c r="I73" s="75"/>
      <c r="J73" s="266" t="s">
        <v>11</v>
      </c>
      <c r="K73" s="266"/>
      <c r="L73" s="76"/>
      <c r="M73" s="1"/>
    </row>
    <row r="74" spans="1:13" ht="15.75">
      <c r="A74" s="109"/>
      <c r="B74" s="268"/>
      <c r="C74" s="83"/>
      <c r="D74" s="62" t="s">
        <v>12</v>
      </c>
      <c r="E74" s="62"/>
      <c r="F74" s="70" t="s">
        <v>13</v>
      </c>
      <c r="G74" s="64" t="s">
        <v>125</v>
      </c>
      <c r="H74" s="64" t="s">
        <v>40</v>
      </c>
      <c r="I74" s="84"/>
      <c r="J74" s="85" t="s">
        <v>16</v>
      </c>
      <c r="K74" s="85" t="s">
        <v>17</v>
      </c>
      <c r="L74" s="86"/>
      <c r="M74" s="1"/>
    </row>
    <row r="75" spans="1:13" ht="4.5" customHeight="1">
      <c r="A75" s="109"/>
      <c r="B75" s="268"/>
      <c r="C75" s="83"/>
      <c r="D75" s="65"/>
      <c r="E75" s="65"/>
      <c r="F75" s="96"/>
      <c r="G75" s="66"/>
      <c r="H75" s="66"/>
      <c r="I75" s="88"/>
      <c r="J75" s="66"/>
      <c r="K75" s="66"/>
      <c r="L75" s="86"/>
      <c r="M75" s="1"/>
    </row>
    <row r="76" spans="1:13" ht="15.75">
      <c r="A76" s="109"/>
      <c r="B76" s="268"/>
      <c r="C76" s="83"/>
      <c r="D76" s="65" t="s">
        <v>70</v>
      </c>
      <c r="E76" s="65"/>
      <c r="F76" s="96" t="s">
        <v>36</v>
      </c>
      <c r="G76" s="103">
        <v>4220</v>
      </c>
      <c r="H76" s="104">
        <v>1</v>
      </c>
      <c r="I76" s="130"/>
      <c r="J76" s="89">
        <f aca="true" t="shared" si="8" ref="J76:J81">K76/$E$5</f>
        <v>16.88</v>
      </c>
      <c r="K76" s="71">
        <f aca="true" t="shared" si="9" ref="K76:K81">G76*H76</f>
        <v>4220</v>
      </c>
      <c r="L76" s="86"/>
      <c r="M76" s="1"/>
    </row>
    <row r="77" spans="1:13" ht="15.75">
      <c r="A77" s="109"/>
      <c r="B77" s="268"/>
      <c r="C77" s="83"/>
      <c r="D77" s="65" t="s">
        <v>71</v>
      </c>
      <c r="E77" s="65"/>
      <c r="F77" s="96" t="s">
        <v>36</v>
      </c>
      <c r="G77" s="103">
        <v>2160</v>
      </c>
      <c r="H77" s="104">
        <v>1</v>
      </c>
      <c r="I77" s="130"/>
      <c r="J77" s="99">
        <f t="shared" si="8"/>
        <v>8.64</v>
      </c>
      <c r="K77" s="71">
        <f t="shared" si="9"/>
        <v>2160</v>
      </c>
      <c r="L77" s="86"/>
      <c r="M77" s="1"/>
    </row>
    <row r="78" spans="1:13" ht="15.75">
      <c r="A78" s="109"/>
      <c r="B78" s="268"/>
      <c r="C78" s="83"/>
      <c r="D78" s="65" t="s">
        <v>72</v>
      </c>
      <c r="E78" s="65"/>
      <c r="F78" s="96" t="s">
        <v>36</v>
      </c>
      <c r="G78" s="103">
        <v>720</v>
      </c>
      <c r="H78" s="104">
        <v>1</v>
      </c>
      <c r="I78" s="130"/>
      <c r="J78" s="99">
        <f t="shared" si="8"/>
        <v>2.88</v>
      </c>
      <c r="K78" s="71">
        <f t="shared" si="9"/>
        <v>720</v>
      </c>
      <c r="L78" s="86"/>
      <c r="M78" s="1"/>
    </row>
    <row r="79" spans="1:13" ht="15.75">
      <c r="A79" s="109"/>
      <c r="B79" s="268"/>
      <c r="C79" s="83"/>
      <c r="D79" s="65" t="s">
        <v>73</v>
      </c>
      <c r="E79" s="65"/>
      <c r="F79" s="96" t="s">
        <v>36</v>
      </c>
      <c r="G79" s="103">
        <v>575</v>
      </c>
      <c r="H79" s="104">
        <v>1</v>
      </c>
      <c r="I79" s="130"/>
      <c r="J79" s="99">
        <f t="shared" si="8"/>
        <v>2.3</v>
      </c>
      <c r="K79" s="71">
        <f t="shared" si="9"/>
        <v>575</v>
      </c>
      <c r="L79" s="86"/>
      <c r="M79" s="1"/>
    </row>
    <row r="80" spans="1:13" ht="15.75">
      <c r="A80" s="109"/>
      <c r="B80" s="268"/>
      <c r="C80" s="83"/>
      <c r="D80" s="65" t="s">
        <v>74</v>
      </c>
      <c r="E80" s="65"/>
      <c r="F80" s="96" t="s">
        <v>36</v>
      </c>
      <c r="G80" s="103">
        <v>0</v>
      </c>
      <c r="H80" s="104">
        <v>0</v>
      </c>
      <c r="I80" s="130"/>
      <c r="J80" s="99">
        <f t="shared" si="8"/>
        <v>0</v>
      </c>
      <c r="K80" s="71">
        <f t="shared" si="9"/>
        <v>0</v>
      </c>
      <c r="L80" s="86"/>
      <c r="M80" s="1"/>
    </row>
    <row r="81" spans="1:13" ht="15.75">
      <c r="A81" s="109"/>
      <c r="B81" s="268"/>
      <c r="C81" s="83"/>
      <c r="D81" s="65" t="s">
        <v>74</v>
      </c>
      <c r="E81" s="65"/>
      <c r="F81" s="96" t="s">
        <v>36</v>
      </c>
      <c r="G81" s="103">
        <v>0</v>
      </c>
      <c r="H81" s="104">
        <v>0</v>
      </c>
      <c r="I81" s="130"/>
      <c r="J81" s="99">
        <f t="shared" si="8"/>
        <v>0</v>
      </c>
      <c r="K81" s="71">
        <f t="shared" si="9"/>
        <v>0</v>
      </c>
      <c r="L81" s="86"/>
      <c r="M81" s="1"/>
    </row>
    <row r="82" spans="1:13" ht="4.5" customHeight="1" thickBot="1">
      <c r="A82" s="109"/>
      <c r="B82" s="268"/>
      <c r="C82" s="83"/>
      <c r="D82" s="67"/>
      <c r="E82" s="67"/>
      <c r="F82" s="123"/>
      <c r="G82" s="135"/>
      <c r="H82" s="136"/>
      <c r="I82" s="133"/>
      <c r="J82" s="91"/>
      <c r="K82" s="97"/>
      <c r="L82" s="86"/>
      <c r="M82" s="1"/>
    </row>
    <row r="83" spans="1:13" ht="17.25" thickBot="1" thickTop="1">
      <c r="A83" s="109"/>
      <c r="B83" s="269"/>
      <c r="C83" s="92"/>
      <c r="D83" s="68" t="s">
        <v>131</v>
      </c>
      <c r="E83" s="68"/>
      <c r="F83" s="77"/>
      <c r="G83" s="77"/>
      <c r="H83" s="77"/>
      <c r="I83" s="77"/>
      <c r="J83" s="78">
        <f>SUM(J76:J81)</f>
        <v>30.7</v>
      </c>
      <c r="K83" s="79">
        <f>SUM(K76:K81)</f>
        <v>7675</v>
      </c>
      <c r="L83" s="93"/>
      <c r="M83" s="1"/>
    </row>
    <row r="84" spans="1:13" ht="16.5" thickBot="1">
      <c r="A84" s="109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"/>
    </row>
    <row r="85" spans="1:13" ht="15.75">
      <c r="A85" s="109"/>
      <c r="B85" s="267" t="s">
        <v>75</v>
      </c>
      <c r="C85" s="82"/>
      <c r="D85" s="75"/>
      <c r="E85" s="75"/>
      <c r="F85" s="75"/>
      <c r="G85" s="75"/>
      <c r="H85" s="61" t="s">
        <v>10</v>
      </c>
      <c r="I85" s="75"/>
      <c r="J85" s="266" t="s">
        <v>11</v>
      </c>
      <c r="K85" s="266"/>
      <c r="L85" s="76"/>
      <c r="M85" s="1"/>
    </row>
    <row r="86" spans="1:13" ht="15.75">
      <c r="A86" s="109"/>
      <c r="B86" s="268"/>
      <c r="C86" s="83"/>
      <c r="D86" s="62" t="s">
        <v>12</v>
      </c>
      <c r="E86" s="62"/>
      <c r="F86" s="70" t="s">
        <v>13</v>
      </c>
      <c r="G86" s="64" t="s">
        <v>125</v>
      </c>
      <c r="H86" s="64" t="s">
        <v>40</v>
      </c>
      <c r="I86" s="84"/>
      <c r="J86" s="85" t="s">
        <v>16</v>
      </c>
      <c r="K86" s="85" t="s">
        <v>17</v>
      </c>
      <c r="L86" s="86"/>
      <c r="M86" s="1"/>
    </row>
    <row r="87" spans="1:13" ht="4.5" customHeight="1">
      <c r="A87" s="109"/>
      <c r="B87" s="268"/>
      <c r="C87" s="83"/>
      <c r="D87" s="65"/>
      <c r="E87" s="65"/>
      <c r="F87" s="96"/>
      <c r="G87" s="66"/>
      <c r="H87" s="66"/>
      <c r="I87" s="88"/>
      <c r="J87" s="66"/>
      <c r="K87" s="66"/>
      <c r="L87" s="86"/>
      <c r="M87" s="1"/>
    </row>
    <row r="88" spans="1:13" ht="15.75">
      <c r="A88" s="109"/>
      <c r="B88" s="268"/>
      <c r="C88" s="83"/>
      <c r="D88" s="65" t="s">
        <v>76</v>
      </c>
      <c r="E88" s="65"/>
      <c r="F88" s="96" t="s">
        <v>36</v>
      </c>
      <c r="G88" s="103">
        <v>0</v>
      </c>
      <c r="H88" s="104">
        <v>0</v>
      </c>
      <c r="I88" s="88"/>
      <c r="J88" s="89">
        <f aca="true" t="shared" si="10" ref="J88:J93">K88/$E$5</f>
        <v>0</v>
      </c>
      <c r="K88" s="81">
        <f aca="true" t="shared" si="11" ref="K88:K93">G88*H88</f>
        <v>0</v>
      </c>
      <c r="L88" s="86"/>
      <c r="M88" s="1"/>
    </row>
    <row r="89" spans="1:13" ht="15.75">
      <c r="A89" s="109"/>
      <c r="B89" s="268"/>
      <c r="C89" s="83"/>
      <c r="D89" s="65" t="s">
        <v>77</v>
      </c>
      <c r="E89" s="65"/>
      <c r="F89" s="96" t="s">
        <v>36</v>
      </c>
      <c r="G89" s="103">
        <f>H88</f>
        <v>0</v>
      </c>
      <c r="H89" s="104">
        <v>0.0765</v>
      </c>
      <c r="I89" s="88"/>
      <c r="J89" s="99">
        <f t="shared" si="10"/>
        <v>0</v>
      </c>
      <c r="K89" s="81">
        <f t="shared" si="11"/>
        <v>0</v>
      </c>
      <c r="L89" s="86"/>
      <c r="M89" s="1"/>
    </row>
    <row r="90" spans="1:13" ht="15.75">
      <c r="A90" s="109"/>
      <c r="B90" s="268"/>
      <c r="C90" s="83"/>
      <c r="D90" s="65" t="s">
        <v>78</v>
      </c>
      <c r="E90" s="65"/>
      <c r="F90" s="96" t="s">
        <v>36</v>
      </c>
      <c r="G90" s="103">
        <v>1500</v>
      </c>
      <c r="H90" s="104">
        <v>1</v>
      </c>
      <c r="I90" s="88"/>
      <c r="J90" s="99">
        <f t="shared" si="10"/>
        <v>6</v>
      </c>
      <c r="K90" s="81">
        <f t="shared" si="11"/>
        <v>1500</v>
      </c>
      <c r="L90" s="86"/>
      <c r="M90" s="1"/>
    </row>
    <row r="91" spans="1:13" ht="15.75">
      <c r="A91" s="109"/>
      <c r="B91" s="268"/>
      <c r="C91" s="83"/>
      <c r="D91" s="65" t="s">
        <v>79</v>
      </c>
      <c r="E91" s="65"/>
      <c r="F91" s="96" t="s">
        <v>80</v>
      </c>
      <c r="G91" s="103">
        <v>1</v>
      </c>
      <c r="H91" s="104">
        <v>650</v>
      </c>
      <c r="I91" s="88"/>
      <c r="J91" s="99">
        <f t="shared" si="10"/>
        <v>2.6</v>
      </c>
      <c r="K91" s="81">
        <f t="shared" si="11"/>
        <v>650</v>
      </c>
      <c r="L91" s="86"/>
      <c r="M91" s="1"/>
    </row>
    <row r="92" spans="1:13" ht="15.75">
      <c r="A92" s="109"/>
      <c r="B92" s="268"/>
      <c r="C92" s="83"/>
      <c r="D92" s="65" t="s">
        <v>81</v>
      </c>
      <c r="E92" s="65"/>
      <c r="F92" s="96" t="s">
        <v>36</v>
      </c>
      <c r="G92" s="103">
        <f>H88/100</f>
        <v>0</v>
      </c>
      <c r="H92" s="104">
        <v>17.35</v>
      </c>
      <c r="I92" s="88"/>
      <c r="J92" s="99">
        <f t="shared" si="10"/>
        <v>0</v>
      </c>
      <c r="K92" s="81">
        <f t="shared" si="11"/>
        <v>0</v>
      </c>
      <c r="L92" s="86"/>
      <c r="M92" s="1"/>
    </row>
    <row r="93" spans="1:13" ht="15.75">
      <c r="A93" s="109"/>
      <c r="B93" s="268"/>
      <c r="C93" s="83"/>
      <c r="D93" s="65" t="s">
        <v>82</v>
      </c>
      <c r="E93" s="65"/>
      <c r="F93" s="96" t="s">
        <v>36</v>
      </c>
      <c r="G93" s="104">
        <v>0</v>
      </c>
      <c r="H93" s="104">
        <v>0</v>
      </c>
      <c r="I93" s="88"/>
      <c r="J93" s="99">
        <f t="shared" si="10"/>
        <v>0</v>
      </c>
      <c r="K93" s="81">
        <f t="shared" si="11"/>
        <v>0</v>
      </c>
      <c r="L93" s="86"/>
      <c r="M93" s="1"/>
    </row>
    <row r="94" spans="1:13" ht="4.5" customHeight="1" thickBot="1">
      <c r="A94" s="109"/>
      <c r="B94" s="268"/>
      <c r="C94" s="83"/>
      <c r="D94" s="67"/>
      <c r="E94" s="67"/>
      <c r="F94" s="123"/>
      <c r="G94" s="137"/>
      <c r="H94" s="138"/>
      <c r="I94" s="90"/>
      <c r="J94" s="91"/>
      <c r="K94" s="98"/>
      <c r="L94" s="86"/>
      <c r="M94" s="1"/>
    </row>
    <row r="95" spans="1:13" ht="17.25" thickBot="1" thickTop="1">
      <c r="A95" s="109"/>
      <c r="B95" s="269"/>
      <c r="C95" s="92"/>
      <c r="D95" s="68" t="s">
        <v>130</v>
      </c>
      <c r="E95" s="68"/>
      <c r="F95" s="77"/>
      <c r="G95" s="77"/>
      <c r="H95" s="77"/>
      <c r="I95" s="77"/>
      <c r="J95" s="78">
        <f>SUM(J88:J93)</f>
        <v>8.6</v>
      </c>
      <c r="K95" s="79">
        <f>SUM(K88:K93)</f>
        <v>2150</v>
      </c>
      <c r="L95" s="93"/>
      <c r="M95" s="1"/>
    </row>
    <row r="96" spans="1:13" ht="16.5" thickBot="1">
      <c r="A96" s="109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"/>
    </row>
    <row r="97" spans="1:12" ht="15.75">
      <c r="A97" s="110"/>
      <c r="B97" s="267" t="s">
        <v>124</v>
      </c>
      <c r="C97" s="82"/>
      <c r="D97" s="75"/>
      <c r="E97" s="75"/>
      <c r="F97" s="75"/>
      <c r="G97" s="75"/>
      <c r="H97" s="61"/>
      <c r="I97" s="75"/>
      <c r="J97" s="266" t="s">
        <v>11</v>
      </c>
      <c r="K97" s="266"/>
      <c r="L97" s="76"/>
    </row>
    <row r="98" spans="1:12" ht="15.75">
      <c r="A98" s="110"/>
      <c r="B98" s="268"/>
      <c r="C98" s="83"/>
      <c r="D98" s="62" t="s">
        <v>12</v>
      </c>
      <c r="E98" s="62"/>
      <c r="F98" s="70" t="s">
        <v>126</v>
      </c>
      <c r="G98" s="64" t="s">
        <v>127</v>
      </c>
      <c r="H98" s="64" t="s">
        <v>128</v>
      </c>
      <c r="I98" s="84"/>
      <c r="J98" s="85" t="s">
        <v>16</v>
      </c>
      <c r="K98" s="85" t="s">
        <v>17</v>
      </c>
      <c r="L98" s="86"/>
    </row>
    <row r="99" spans="1:12" ht="4.5" customHeight="1">
      <c r="A99" s="110"/>
      <c r="B99" s="268"/>
      <c r="C99" s="83"/>
      <c r="D99" s="65"/>
      <c r="E99" s="65"/>
      <c r="F99" s="96"/>
      <c r="G99" s="66"/>
      <c r="H99" s="66"/>
      <c r="I99" s="88"/>
      <c r="J99" s="66"/>
      <c r="K99" s="66"/>
      <c r="L99" s="86"/>
    </row>
    <row r="100" spans="1:12" ht="15.75">
      <c r="A100" s="110"/>
      <c r="B100" s="268"/>
      <c r="C100" s="83"/>
      <c r="D100" s="65" t="s">
        <v>122</v>
      </c>
      <c r="E100" s="65"/>
      <c r="F100" s="87">
        <f>(K20+K34+K48+K58+K71+K83+K95)</f>
        <v>81063.555</v>
      </c>
      <c r="G100" s="102">
        <v>0.5</v>
      </c>
      <c r="H100" s="101">
        <v>0.075</v>
      </c>
      <c r="I100" s="88"/>
      <c r="J100" s="89">
        <f>K100/$E$5</f>
        <v>12.159533249999999</v>
      </c>
      <c r="K100" s="81">
        <f>F100*G100*H100</f>
        <v>3039.8833124999996</v>
      </c>
      <c r="L100" s="86"/>
    </row>
    <row r="101" spans="1:12" ht="15.75">
      <c r="A101" s="110"/>
      <c r="B101" s="268"/>
      <c r="C101" s="83"/>
      <c r="D101" s="65" t="s">
        <v>123</v>
      </c>
      <c r="E101" s="65"/>
      <c r="F101" s="103">
        <v>263757</v>
      </c>
      <c r="G101" s="100">
        <v>1</v>
      </c>
      <c r="H101" s="101">
        <v>0.07</v>
      </c>
      <c r="I101" s="88"/>
      <c r="J101" s="99">
        <f>K101/$E$5</f>
        <v>73.85196</v>
      </c>
      <c r="K101" s="81">
        <f>F101*G101*H101</f>
        <v>18462.99</v>
      </c>
      <c r="L101" s="86"/>
    </row>
    <row r="102" spans="1:12" ht="4.5" customHeight="1" thickBot="1">
      <c r="A102" s="110"/>
      <c r="B102" s="268"/>
      <c r="C102" s="83"/>
      <c r="D102" s="67"/>
      <c r="E102" s="67"/>
      <c r="F102" s="139"/>
      <c r="G102" s="140"/>
      <c r="H102" s="141"/>
      <c r="I102" s="90"/>
      <c r="J102" s="91"/>
      <c r="K102" s="98"/>
      <c r="L102" s="86"/>
    </row>
    <row r="103" spans="1:12" ht="17.25" thickBot="1" thickTop="1">
      <c r="A103" s="110"/>
      <c r="B103" s="269"/>
      <c r="C103" s="92"/>
      <c r="D103" s="68" t="s">
        <v>132</v>
      </c>
      <c r="E103" s="68"/>
      <c r="F103" s="77"/>
      <c r="G103" s="77"/>
      <c r="H103" s="77"/>
      <c r="I103" s="77"/>
      <c r="J103" s="78">
        <f>SUM(J100:J101)</f>
        <v>86.01149325</v>
      </c>
      <c r="K103" s="79">
        <f>SUM(K100:K101)</f>
        <v>21502.8733125</v>
      </c>
      <c r="L103" s="93"/>
    </row>
  </sheetData>
  <sheetProtection password="CA5F" sheet="1" objects="1" scenarios="1"/>
  <mergeCells count="20">
    <mergeCell ref="B97:B103"/>
    <mergeCell ref="J97:K97"/>
    <mergeCell ref="J85:K85"/>
    <mergeCell ref="J50:K50"/>
    <mergeCell ref="B85:B95"/>
    <mergeCell ref="B50:B58"/>
    <mergeCell ref="B60:B71"/>
    <mergeCell ref="B73:B83"/>
    <mergeCell ref="J60:K60"/>
    <mergeCell ref="J73:K73"/>
    <mergeCell ref="B1:K1"/>
    <mergeCell ref="B2:K2"/>
    <mergeCell ref="J22:K22"/>
    <mergeCell ref="J36:K36"/>
    <mergeCell ref="J9:K9"/>
    <mergeCell ref="B9:B20"/>
    <mergeCell ref="I4:K4"/>
    <mergeCell ref="D4:F4"/>
    <mergeCell ref="B22:B34"/>
    <mergeCell ref="B36:B48"/>
  </mergeCell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Sharp</dc:creator>
  <cp:keywords/>
  <dc:description/>
  <cp:lastModifiedBy>Cooperative Extension</cp:lastModifiedBy>
  <dcterms:created xsi:type="dcterms:W3CDTF">2005-01-26T22:32:31Z</dcterms:created>
  <dcterms:modified xsi:type="dcterms:W3CDTF">2010-05-25T19:51:08Z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