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480" windowHeight="11640"/>
  </bookViews>
  <sheets>
    <sheet name="Entreprise Budget" sheetId="1" r:id="rId1"/>
    <sheet name="Results" sheetId="4" r:id="rId2"/>
    <sheet name="Debt Capacity" sheetId="13" r:id="rId3"/>
    <sheet name="Fin. Stmts." sheetId="11" r:id="rId4"/>
    <sheet name="Fin. Ratios" sheetId="12" r:id="rId5"/>
    <sheet name="Benchmarks" sheetId="9" state="hidden" r:id="rId6"/>
    <sheet name="Bond I.S." sheetId="6" state="hidden" r:id="rId7"/>
  </sheets>
  <definedNames>
    <definedName name="frame1" localSheetId="0">'Entreprise Budget'!#REF!</definedName>
  </definedNames>
  <calcPr calcId="125725"/>
</workbook>
</file>

<file path=xl/calcChain.xml><?xml version="1.0" encoding="utf-8"?>
<calcChain xmlns="http://schemas.openxmlformats.org/spreadsheetml/2006/main">
  <c r="J144" i="4"/>
  <c r="J147"/>
  <c r="J146"/>
  <c r="E146"/>
  <c r="E147"/>
  <c r="E39"/>
  <c r="C103"/>
  <c r="C104"/>
  <c r="C105"/>
  <c r="E105"/>
  <c r="F105"/>
  <c r="I105"/>
  <c r="E79"/>
  <c r="F79"/>
  <c r="I79"/>
  <c r="E52"/>
  <c r="F52"/>
  <c r="I52"/>
  <c r="E41"/>
  <c r="I41"/>
  <c r="F41"/>
  <c r="C121" i="1"/>
  <c r="C95"/>
  <c r="F67"/>
  <c r="C47"/>
  <c r="Q19" i="6"/>
  <c r="Q20"/>
  <c r="Q21"/>
  <c r="Q22"/>
  <c r="Q23"/>
  <c r="Q24"/>
  <c r="Q25"/>
  <c r="Q26"/>
  <c r="Q27"/>
  <c r="Q28"/>
  <c r="Q29"/>
  <c r="Q30"/>
  <c r="Q31"/>
  <c r="Q32"/>
  <c r="Q33"/>
  <c r="Q34"/>
  <c r="Q18"/>
  <c r="K19"/>
  <c r="K20"/>
  <c r="K21"/>
  <c r="K22"/>
  <c r="K23"/>
  <c r="K24"/>
  <c r="K25"/>
  <c r="K26"/>
  <c r="K27"/>
  <c r="K28"/>
  <c r="K29"/>
  <c r="K30"/>
  <c r="K31"/>
  <c r="K32"/>
  <c r="K33"/>
  <c r="K34"/>
  <c r="K18"/>
  <c r="E19"/>
  <c r="E20"/>
  <c r="E21"/>
  <c r="E22"/>
  <c r="E23"/>
  <c r="E24"/>
  <c r="E25"/>
  <c r="E26"/>
  <c r="E27"/>
  <c r="E28"/>
  <c r="E29"/>
  <c r="E30"/>
  <c r="E31"/>
  <c r="E32"/>
  <c r="E33"/>
  <c r="E34"/>
  <c r="E18"/>
  <c r="H19"/>
  <c r="H20"/>
  <c r="H21"/>
  <c r="H22"/>
  <c r="H23"/>
  <c r="H24"/>
  <c r="H25"/>
  <c r="H26"/>
  <c r="H27"/>
  <c r="H28"/>
  <c r="H29"/>
  <c r="H30"/>
  <c r="H31"/>
  <c r="H32"/>
  <c r="H33"/>
  <c r="H34"/>
  <c r="H18"/>
  <c r="G18"/>
  <c r="C3" i="13"/>
  <c r="C5"/>
  <c r="C6"/>
  <c r="C8"/>
  <c r="C9"/>
  <c r="C12"/>
  <c r="C13"/>
  <c r="C14"/>
  <c r="C15"/>
  <c r="C18"/>
  <c r="C20"/>
  <c r="B16"/>
  <c r="C16"/>
  <c r="L9" i="9"/>
  <c r="L30"/>
  <c r="L41"/>
  <c r="L32"/>
  <c r="L36"/>
  <c r="E6" i="4"/>
  <c r="N23" s="1"/>
  <c r="E9"/>
  <c r="N24" s="1"/>
  <c r="D5" i="12"/>
  <c r="C24" i="11"/>
  <c r="C26"/>
  <c r="C30"/>
  <c r="C35"/>
  <c r="D15" i="12"/>
  <c r="F8" i="11"/>
  <c r="C12"/>
  <c r="D16" i="12"/>
  <c r="D17" s="1"/>
  <c r="D18" s="1"/>
  <c r="D7" i="6"/>
  <c r="D145" i="1"/>
  <c r="D22" i="9"/>
  <c r="H20"/>
  <c r="H12"/>
  <c r="D12"/>
  <c r="M7" i="6"/>
  <c r="M8"/>
  <c r="M9"/>
  <c r="M10"/>
  <c r="M11"/>
  <c r="M12"/>
  <c r="M13"/>
  <c r="M18"/>
  <c r="M19"/>
  <c r="M20"/>
  <c r="M21"/>
  <c r="M22"/>
  <c r="M23"/>
  <c r="M24"/>
  <c r="M25"/>
  <c r="M26"/>
  <c r="M27"/>
  <c r="M28"/>
  <c r="M29"/>
  <c r="M30"/>
  <c r="M31"/>
  <c r="M32"/>
  <c r="M33"/>
  <c r="M34"/>
  <c r="L39"/>
  <c r="M39"/>
  <c r="M41"/>
  <c r="M42"/>
  <c r="L44"/>
  <c r="M44"/>
  <c r="L46"/>
  <c r="M46"/>
  <c r="M50"/>
  <c r="L48"/>
  <c r="M48"/>
  <c r="I44"/>
  <c r="J44"/>
  <c r="F44"/>
  <c r="G44"/>
  <c r="C44"/>
  <c r="D44"/>
  <c r="O43"/>
  <c r="O42"/>
  <c r="J42"/>
  <c r="G42"/>
  <c r="D42"/>
  <c r="O41"/>
  <c r="J41"/>
  <c r="G41"/>
  <c r="D41"/>
  <c r="I39"/>
  <c r="J39"/>
  <c r="F39"/>
  <c r="F46"/>
  <c r="G46"/>
  <c r="C39"/>
  <c r="O39"/>
  <c r="O34"/>
  <c r="J34"/>
  <c r="G34"/>
  <c r="D34"/>
  <c r="O33"/>
  <c r="J33"/>
  <c r="G33"/>
  <c r="D33"/>
  <c r="O32"/>
  <c r="J32"/>
  <c r="G32"/>
  <c r="D32"/>
  <c r="O31"/>
  <c r="J31"/>
  <c r="G31"/>
  <c r="D31"/>
  <c r="O30"/>
  <c r="J30"/>
  <c r="G30"/>
  <c r="D30"/>
  <c r="O29"/>
  <c r="J29"/>
  <c r="G29"/>
  <c r="D29"/>
  <c r="O28"/>
  <c r="J28"/>
  <c r="G28"/>
  <c r="D28"/>
  <c r="O27"/>
  <c r="J27"/>
  <c r="G27"/>
  <c r="D27"/>
  <c r="O26"/>
  <c r="J26"/>
  <c r="G26"/>
  <c r="D26"/>
  <c r="O25"/>
  <c r="J25"/>
  <c r="G25"/>
  <c r="D25"/>
  <c r="O24"/>
  <c r="J24"/>
  <c r="G24"/>
  <c r="D24"/>
  <c r="O23"/>
  <c r="J23"/>
  <c r="G23"/>
  <c r="D23"/>
  <c r="O22"/>
  <c r="J22"/>
  <c r="G22"/>
  <c r="D22"/>
  <c r="O21"/>
  <c r="J21"/>
  <c r="G21"/>
  <c r="D21"/>
  <c r="O20"/>
  <c r="J20"/>
  <c r="G20"/>
  <c r="D20"/>
  <c r="O19"/>
  <c r="J19"/>
  <c r="G19"/>
  <c r="D19"/>
  <c r="O18"/>
  <c r="J18"/>
  <c r="D18"/>
  <c r="I13"/>
  <c r="J13"/>
  <c r="F13"/>
  <c r="G13"/>
  <c r="C13"/>
  <c r="O13"/>
  <c r="O12"/>
  <c r="J12"/>
  <c r="G12"/>
  <c r="D12"/>
  <c r="O11"/>
  <c r="J11"/>
  <c r="G11"/>
  <c r="D11"/>
  <c r="O10"/>
  <c r="G10"/>
  <c r="D10"/>
  <c r="O9"/>
  <c r="J9"/>
  <c r="G9"/>
  <c r="D9"/>
  <c r="O8"/>
  <c r="J8"/>
  <c r="G8"/>
  <c r="D8"/>
  <c r="O7"/>
  <c r="J7"/>
  <c r="G7"/>
  <c r="O3"/>
  <c r="P42"/>
  <c r="D9" i="12"/>
  <c r="L43" i="9"/>
  <c r="D27"/>
  <c r="D12" i="12"/>
  <c r="F10" i="11"/>
  <c r="H22" i="9"/>
  <c r="D39" i="6"/>
  <c r="G39"/>
  <c r="P13"/>
  <c r="P10"/>
  <c r="P11"/>
  <c r="P12"/>
  <c r="P39"/>
  <c r="G50"/>
  <c r="I46"/>
  <c r="J46"/>
  <c r="J50"/>
  <c r="P7"/>
  <c r="P8"/>
  <c r="P9"/>
  <c r="P18"/>
  <c r="P19"/>
  <c r="P20"/>
  <c r="P21"/>
  <c r="P22"/>
  <c r="P23"/>
  <c r="P24"/>
  <c r="P25"/>
  <c r="P26"/>
  <c r="P27"/>
  <c r="P28"/>
  <c r="P29"/>
  <c r="P30"/>
  <c r="P31"/>
  <c r="P32"/>
  <c r="P33"/>
  <c r="P34"/>
  <c r="P41"/>
  <c r="O44"/>
  <c r="P44"/>
  <c r="C46"/>
  <c r="F48"/>
  <c r="G48"/>
  <c r="I48"/>
  <c r="J48"/>
  <c r="D13"/>
  <c r="F12" i="11"/>
  <c r="D6" i="12"/>
  <c r="H25" i="9"/>
  <c r="D46" i="6"/>
  <c r="D50"/>
  <c r="O46"/>
  <c r="P46"/>
  <c r="P50"/>
  <c r="C48"/>
  <c r="I31" i="1"/>
  <c r="I31" i="4"/>
  <c r="H27" i="9"/>
  <c r="D48" i="6"/>
  <c r="O48"/>
  <c r="P48"/>
  <c r="C21" i="1"/>
  <c r="C23"/>
  <c r="C58"/>
  <c r="C69"/>
  <c r="C78"/>
  <c r="C115"/>
  <c r="E144" i="4"/>
  <c r="D8" i="12" s="1"/>
  <c r="E136" i="4"/>
  <c r="E135"/>
  <c r="E134"/>
  <c r="F6"/>
  <c r="I126"/>
  <c r="F126"/>
  <c r="E126"/>
  <c r="I118"/>
  <c r="F118"/>
  <c r="E118"/>
  <c r="N53" s="1"/>
  <c r="I114"/>
  <c r="F114"/>
  <c r="E114"/>
  <c r="I113"/>
  <c r="F113"/>
  <c r="E113"/>
  <c r="I112"/>
  <c r="F112"/>
  <c r="E112"/>
  <c r="I111"/>
  <c r="F111"/>
  <c r="E111"/>
  <c r="I110"/>
  <c r="F110"/>
  <c r="E110"/>
  <c r="I109"/>
  <c r="J109" s="1"/>
  <c r="F109"/>
  <c r="E109"/>
  <c r="I104"/>
  <c r="F104"/>
  <c r="E104"/>
  <c r="I103"/>
  <c r="J103" s="1"/>
  <c r="F103"/>
  <c r="E103"/>
  <c r="I99"/>
  <c r="F99"/>
  <c r="E99"/>
  <c r="I98"/>
  <c r="F98"/>
  <c r="E98"/>
  <c r="I97"/>
  <c r="F97"/>
  <c r="E97"/>
  <c r="I96"/>
  <c r="F96"/>
  <c r="E96"/>
  <c r="I91"/>
  <c r="F91"/>
  <c r="E91"/>
  <c r="I90"/>
  <c r="F90"/>
  <c r="E90"/>
  <c r="I86"/>
  <c r="F86"/>
  <c r="E86"/>
  <c r="I85"/>
  <c r="F85"/>
  <c r="E85"/>
  <c r="I84"/>
  <c r="F84"/>
  <c r="E84"/>
  <c r="I83"/>
  <c r="F83"/>
  <c r="E83"/>
  <c r="I78"/>
  <c r="F78"/>
  <c r="E78"/>
  <c r="I77"/>
  <c r="F77"/>
  <c r="E77"/>
  <c r="I76"/>
  <c r="F76"/>
  <c r="E76"/>
  <c r="I75"/>
  <c r="F75"/>
  <c r="E75"/>
  <c r="I74"/>
  <c r="F74"/>
  <c r="E74"/>
  <c r="I73"/>
  <c r="F73"/>
  <c r="E73"/>
  <c r="I72"/>
  <c r="F72"/>
  <c r="E72"/>
  <c r="I67"/>
  <c r="J67" s="1"/>
  <c r="F67"/>
  <c r="E67"/>
  <c r="I66"/>
  <c r="F66"/>
  <c r="E66"/>
  <c r="I62"/>
  <c r="F62"/>
  <c r="E62"/>
  <c r="I61"/>
  <c r="F61"/>
  <c r="E61"/>
  <c r="I60"/>
  <c r="F60"/>
  <c r="E60"/>
  <c r="I59"/>
  <c r="F59"/>
  <c r="E59"/>
  <c r="I58"/>
  <c r="F58"/>
  <c r="E58"/>
  <c r="I54"/>
  <c r="F54"/>
  <c r="E54"/>
  <c r="I53"/>
  <c r="J53" s="1"/>
  <c r="F53"/>
  <c r="E53"/>
  <c r="I51"/>
  <c r="F51"/>
  <c r="E51"/>
  <c r="I50"/>
  <c r="F50"/>
  <c r="E50"/>
  <c r="I49"/>
  <c r="F49"/>
  <c r="E49"/>
  <c r="I48"/>
  <c r="J48" s="1"/>
  <c r="F48"/>
  <c r="E48"/>
  <c r="I43"/>
  <c r="F43"/>
  <c r="E43"/>
  <c r="I42"/>
  <c r="F42"/>
  <c r="E42"/>
  <c r="I40"/>
  <c r="F40"/>
  <c r="E40"/>
  <c r="I39"/>
  <c r="F39"/>
  <c r="I29"/>
  <c r="F29"/>
  <c r="E29"/>
  <c r="I28"/>
  <c r="F28"/>
  <c r="E28"/>
  <c r="I27"/>
  <c r="F27"/>
  <c r="E27"/>
  <c r="I25"/>
  <c r="F25"/>
  <c r="E25"/>
  <c r="C25"/>
  <c r="I23"/>
  <c r="F23"/>
  <c r="E23"/>
  <c r="C23"/>
  <c r="I19"/>
  <c r="F19"/>
  <c r="E19"/>
  <c r="C19"/>
  <c r="I17"/>
  <c r="F17"/>
  <c r="E17"/>
  <c r="C17"/>
  <c r="I14"/>
  <c r="F14"/>
  <c r="E14"/>
  <c r="C14"/>
  <c r="I9"/>
  <c r="I6"/>
  <c r="C44" i="1"/>
  <c r="G105" i="4" s="1"/>
  <c r="H105" s="1"/>
  <c r="C46" i="1"/>
  <c r="E32" i="4" s="1"/>
  <c r="N25" s="1"/>
  <c r="F44"/>
  <c r="F55"/>
  <c r="F63"/>
  <c r="C83" i="1"/>
  <c r="C102"/>
  <c r="C107"/>
  <c r="F100" i="4"/>
  <c r="C130" i="1"/>
  <c r="F115" i="4"/>
  <c r="F87"/>
  <c r="F106"/>
  <c r="F92"/>
  <c r="F80"/>
  <c r="F68"/>
  <c r="F33"/>
  <c r="C7" i="1"/>
  <c r="B2" i="13" s="1"/>
  <c r="E11" i="4"/>
  <c r="I11" s="1"/>
  <c r="E138"/>
  <c r="G6"/>
  <c r="H6" s="1"/>
  <c r="F9"/>
  <c r="G19"/>
  <c r="H19" s="1"/>
  <c r="G27"/>
  <c r="H27" s="1"/>
  <c r="G29"/>
  <c r="H29" s="1"/>
  <c r="E33"/>
  <c r="G33"/>
  <c r="H33" s="1"/>
  <c r="I33"/>
  <c r="G39"/>
  <c r="H39" s="1"/>
  <c r="G40"/>
  <c r="H40" s="1"/>
  <c r="G42"/>
  <c r="H42" s="1"/>
  <c r="G43"/>
  <c r="H43" s="1"/>
  <c r="E44"/>
  <c r="N43" s="1"/>
  <c r="G44"/>
  <c r="H44" s="1"/>
  <c r="I44"/>
  <c r="G49"/>
  <c r="H49" s="1"/>
  <c r="G51"/>
  <c r="H51" s="1"/>
  <c r="G54"/>
  <c r="H54" s="1"/>
  <c r="E55"/>
  <c r="N44" s="1"/>
  <c r="G55"/>
  <c r="H55" s="1"/>
  <c r="I55"/>
  <c r="G58"/>
  <c r="H58" s="1"/>
  <c r="G59"/>
  <c r="H59" s="1"/>
  <c r="G60"/>
  <c r="H60" s="1"/>
  <c r="G61"/>
  <c r="H61" s="1"/>
  <c r="G62"/>
  <c r="H62" s="1"/>
  <c r="E63"/>
  <c r="N45"/>
  <c r="G63"/>
  <c r="H63" s="1"/>
  <c r="I63"/>
  <c r="G66"/>
  <c r="H66" s="1"/>
  <c r="G67"/>
  <c r="H67" s="1"/>
  <c r="E68"/>
  <c r="N46" s="1"/>
  <c r="G68"/>
  <c r="H68" s="1"/>
  <c r="I68"/>
  <c r="G72"/>
  <c r="H72" s="1"/>
  <c r="G73"/>
  <c r="H73" s="1"/>
  <c r="G74"/>
  <c r="H74" s="1"/>
  <c r="G75"/>
  <c r="H75" s="1"/>
  <c r="G76"/>
  <c r="H76" s="1"/>
  <c r="G77"/>
  <c r="H77" s="1"/>
  <c r="G78"/>
  <c r="H78" s="1"/>
  <c r="E80"/>
  <c r="N47"/>
  <c r="G80"/>
  <c r="H80" s="1"/>
  <c r="I80"/>
  <c r="J80" s="1"/>
  <c r="G83"/>
  <c r="H83" s="1"/>
  <c r="G84"/>
  <c r="H84" s="1"/>
  <c r="G85"/>
  <c r="H85" s="1"/>
  <c r="G86"/>
  <c r="H86" s="1"/>
  <c r="E87"/>
  <c r="N48" s="1"/>
  <c r="G87"/>
  <c r="H87" s="1"/>
  <c r="I87"/>
  <c r="G90"/>
  <c r="H90" s="1"/>
  <c r="G91"/>
  <c r="H91" s="1"/>
  <c r="E92"/>
  <c r="N49" s="1"/>
  <c r="G92"/>
  <c r="H92" s="1"/>
  <c r="I92"/>
  <c r="G96"/>
  <c r="H96"/>
  <c r="G97"/>
  <c r="H97"/>
  <c r="G98"/>
  <c r="H98"/>
  <c r="G99"/>
  <c r="H99"/>
  <c r="E100"/>
  <c r="N50"/>
  <c r="G100"/>
  <c r="H100"/>
  <c r="I100"/>
  <c r="G103"/>
  <c r="H103" s="1"/>
  <c r="G104"/>
  <c r="H104" s="1"/>
  <c r="E106"/>
  <c r="N51" s="1"/>
  <c r="G106"/>
  <c r="H106" s="1"/>
  <c r="I106"/>
  <c r="G109"/>
  <c r="H109"/>
  <c r="G110"/>
  <c r="H110"/>
  <c r="G111"/>
  <c r="H111"/>
  <c r="G112"/>
  <c r="H112"/>
  <c r="G113"/>
  <c r="H113"/>
  <c r="G114"/>
  <c r="H114"/>
  <c r="E115"/>
  <c r="N52"/>
  <c r="G115"/>
  <c r="H115"/>
  <c r="I115"/>
  <c r="G118"/>
  <c r="H118" s="1"/>
  <c r="G126"/>
  <c r="H126" s="1"/>
  <c r="G9"/>
  <c r="H9" s="1"/>
  <c r="G17"/>
  <c r="H17" s="1"/>
  <c r="C135" i="1"/>
  <c r="I120" i="4"/>
  <c r="J100" s="1"/>
  <c r="G120"/>
  <c r="I142" s="1"/>
  <c r="E120"/>
  <c r="J145" s="1"/>
  <c r="F120"/>
  <c r="C136" i="1"/>
  <c r="J91" i="4"/>
  <c r="I121"/>
  <c r="G121"/>
  <c r="D142" s="1"/>
  <c r="E121"/>
  <c r="E145" s="1"/>
  <c r="F121"/>
  <c r="H121"/>
  <c r="J66"/>
  <c r="J97"/>
  <c r="J79"/>
  <c r="J96"/>
  <c r="J49"/>
  <c r="J63"/>
  <c r="J43"/>
  <c r="J73"/>
  <c r="J75"/>
  <c r="J115"/>
  <c r="J42"/>
  <c r="J92" l="1"/>
  <c r="G11"/>
  <c r="J110"/>
  <c r="J86"/>
  <c r="J112"/>
  <c r="J78"/>
  <c r="J51"/>
  <c r="J74"/>
  <c r="F11"/>
  <c r="J41"/>
  <c r="J55"/>
  <c r="J60"/>
  <c r="J90"/>
  <c r="J58"/>
  <c r="J85"/>
  <c r="J39"/>
  <c r="J44"/>
  <c r="J120"/>
  <c r="J98"/>
  <c r="J76"/>
  <c r="J62"/>
  <c r="J59"/>
  <c r="J105"/>
  <c r="J114"/>
  <c r="J99"/>
  <c r="J84"/>
  <c r="J72"/>
  <c r="J54"/>
  <c r="J40"/>
  <c r="J77"/>
  <c r="J113"/>
  <c r="J68"/>
  <c r="J87"/>
  <c r="C48" i="1"/>
  <c r="I32" i="4"/>
  <c r="F32"/>
  <c r="C2" i="13"/>
  <c r="B4"/>
  <c r="G53" i="4"/>
  <c r="H53" s="1"/>
  <c r="G50"/>
  <c r="H50" s="1"/>
  <c r="G48"/>
  <c r="H48" s="1"/>
  <c r="G32"/>
  <c r="H32" s="1"/>
  <c r="G28"/>
  <c r="H28" s="1"/>
  <c r="G25"/>
  <c r="H25" s="1"/>
  <c r="G14"/>
  <c r="H14" s="1"/>
  <c r="E137"/>
  <c r="G23"/>
  <c r="H23" s="1"/>
  <c r="G41"/>
  <c r="H41" s="1"/>
  <c r="G52"/>
  <c r="H52" s="1"/>
  <c r="G79"/>
  <c r="H79" s="1"/>
  <c r="H11"/>
  <c r="J104"/>
  <c r="J111"/>
  <c r="J50"/>
  <c r="J61"/>
  <c r="J83"/>
  <c r="J106"/>
  <c r="J52"/>
  <c r="H120"/>
  <c r="I141" l="1"/>
  <c r="I143" s="1"/>
  <c r="D141"/>
  <c r="D143" s="1"/>
  <c r="F34"/>
  <c r="I34"/>
  <c r="C50" i="1"/>
  <c r="G34" i="4"/>
  <c r="H34" s="1"/>
  <c r="E34"/>
  <c r="C4" i="13"/>
  <c r="B7"/>
  <c r="F36" i="4" l="1"/>
  <c r="E36"/>
  <c r="I36"/>
  <c r="G36"/>
  <c r="H36" s="1"/>
  <c r="J34"/>
  <c r="C7" i="13"/>
  <c r="B10"/>
  <c r="J6" i="4" l="1"/>
  <c r="J23"/>
  <c r="J14"/>
  <c r="J9"/>
  <c r="J36"/>
  <c r="J29"/>
  <c r="J25"/>
  <c r="J33"/>
  <c r="J17"/>
  <c r="J27"/>
  <c r="J19"/>
  <c r="J28"/>
  <c r="J11"/>
  <c r="J32"/>
  <c r="E124"/>
  <c r="E123"/>
  <c r="B17" i="13"/>
  <c r="C10"/>
  <c r="I124" i="4" l="1"/>
  <c r="G124"/>
  <c r="F124"/>
  <c r="F123"/>
  <c r="I123"/>
  <c r="G123"/>
  <c r="B19" i="13"/>
  <c r="C17"/>
  <c r="H123" i="4" l="1"/>
  <c r="E131" s="1"/>
  <c r="E129"/>
  <c r="H124"/>
  <c r="E132" s="1"/>
  <c r="E130"/>
  <c r="C19" i="13"/>
  <c r="B21"/>
  <c r="C21" s="1"/>
</calcChain>
</file>

<file path=xl/sharedStrings.xml><?xml version="1.0" encoding="utf-8"?>
<sst xmlns="http://schemas.openxmlformats.org/spreadsheetml/2006/main" count="589" uniqueCount="357">
  <si>
    <t>RETURNS</t>
  </si>
  <si>
    <t>Total Cow Herd</t>
  </si>
  <si>
    <t>Milk Sales for year</t>
  </si>
  <si>
    <t>Total lbs of Milk Sold</t>
  </si>
  <si>
    <t>Avg. No. Heifers</t>
  </si>
  <si>
    <t>Cull cow Sales</t>
  </si>
  <si>
    <t>Calf Sales</t>
  </si>
  <si>
    <t>Bull Sales</t>
  </si>
  <si>
    <t>Other Sales</t>
  </si>
  <si>
    <t>Heifer Feed</t>
  </si>
  <si>
    <t>COSTS/OTHER DIRECT COSTS</t>
  </si>
  <si>
    <t>Hauling</t>
  </si>
  <si>
    <t>Marketing</t>
  </si>
  <si>
    <t>Breeding</t>
  </si>
  <si>
    <t>Health Care</t>
  </si>
  <si>
    <t>Vet Service</t>
  </si>
  <si>
    <t>Drugs</t>
  </si>
  <si>
    <t>BST</t>
  </si>
  <si>
    <t>Hoof Trimming</t>
  </si>
  <si>
    <t>Total Health Care Cost</t>
  </si>
  <si>
    <t>Total Feed Costs</t>
  </si>
  <si>
    <t xml:space="preserve"> </t>
  </si>
  <si>
    <t>Mgt Record Systems (DHI)</t>
  </si>
  <si>
    <t>Supplies</t>
  </si>
  <si>
    <t xml:space="preserve">  Dairy Barn</t>
  </si>
  <si>
    <t xml:space="preserve">  Other</t>
  </si>
  <si>
    <t>Miscellaneous</t>
  </si>
  <si>
    <t>Fuel</t>
  </si>
  <si>
    <t>Utilities</t>
  </si>
  <si>
    <t>Water</t>
  </si>
  <si>
    <t>Gas</t>
  </si>
  <si>
    <t>Electricity</t>
  </si>
  <si>
    <t>Phone</t>
  </si>
  <si>
    <t>Total Utility Cost</t>
  </si>
  <si>
    <t xml:space="preserve">Repair </t>
  </si>
  <si>
    <t>Dairy Barn</t>
  </si>
  <si>
    <t>Other</t>
  </si>
  <si>
    <t>Total repair</t>
  </si>
  <si>
    <t>Labor</t>
  </si>
  <si>
    <t>No. of Employees</t>
  </si>
  <si>
    <t>Salaries</t>
  </si>
  <si>
    <t>Indirect</t>
  </si>
  <si>
    <t>Pyrl Tax &amp;WC</t>
  </si>
  <si>
    <t>Total Labor</t>
  </si>
  <si>
    <t>Total Mgt Costs</t>
  </si>
  <si>
    <t>Bedding</t>
  </si>
  <si>
    <t>Manure Expense</t>
  </si>
  <si>
    <t>Total supplies</t>
  </si>
  <si>
    <t>Debt Service</t>
  </si>
  <si>
    <t>Other Expenses</t>
  </si>
  <si>
    <t>Insurance (other than WC)</t>
  </si>
  <si>
    <t>Rent</t>
  </si>
  <si>
    <t>No. of Cull Cows</t>
  </si>
  <si>
    <t>No. of Calf sold</t>
  </si>
  <si>
    <t>Annual</t>
  </si>
  <si>
    <t>Per Day</t>
  </si>
  <si>
    <t>Per CWT</t>
  </si>
  <si>
    <t>Cst/yr</t>
  </si>
  <si>
    <t xml:space="preserve">  Livestock</t>
  </si>
  <si>
    <t>Custom Hire</t>
  </si>
  <si>
    <t>GROSS CATTLE SALES/PURCHASES</t>
  </si>
  <si>
    <t>No. Heifers Purchased</t>
  </si>
  <si>
    <t>No. Cows Purchased</t>
  </si>
  <si>
    <t>Cost of Cow Purchases</t>
  </si>
  <si>
    <t>Cost of Heifer Purchases</t>
  </si>
  <si>
    <t>Beginning No. of Cows</t>
  </si>
  <si>
    <t>No. of Dead Cows</t>
  </si>
  <si>
    <t>Ending Cow Numbers</t>
  </si>
  <si>
    <t>Expense/yr</t>
  </si>
  <si>
    <t>Supplies/Manure</t>
  </si>
  <si>
    <t>No. FTE Labor</t>
  </si>
  <si>
    <t>Total Other Expenses</t>
  </si>
  <si>
    <t>Property Taxes</t>
  </si>
  <si>
    <t>Total Interest</t>
  </si>
  <si>
    <t>Depreciation</t>
  </si>
  <si>
    <t>Return to Labor &amp; Mgt W/O Deprc</t>
  </si>
  <si>
    <t>Return to Labor &amp; Mgt With Deprc</t>
  </si>
  <si>
    <t>Pounds of milk / FTE Labor</t>
  </si>
  <si>
    <t>Cows per FTE</t>
  </si>
  <si>
    <t>Feed Costs</t>
  </si>
  <si>
    <t>ID</t>
  </si>
  <si>
    <t>Days/Year</t>
  </si>
  <si>
    <t>RHA as of 12/31</t>
  </si>
  <si>
    <t>Other Feed Costs</t>
  </si>
  <si>
    <t xml:space="preserve">  </t>
  </si>
  <si>
    <t>Milk/Cow/yr</t>
  </si>
  <si>
    <t>Milk Sales</t>
  </si>
  <si>
    <t>Prod #</t>
  </si>
  <si>
    <t>Avg/hd</t>
  </si>
  <si>
    <t>No. Bulls Sold</t>
  </si>
  <si>
    <t>Cost of Bulls Purchased</t>
  </si>
  <si>
    <t>No. of Bulls Purchased</t>
  </si>
  <si>
    <t>Cost of Purchased Lvstk</t>
  </si>
  <si>
    <t>Gross Returns</t>
  </si>
  <si>
    <t>Total Feed Cost</t>
  </si>
  <si>
    <t>Capital Retention</t>
  </si>
  <si>
    <t>PAT or PAC</t>
  </si>
  <si>
    <t>Other Mrktg</t>
  </si>
  <si>
    <t>Cropping Costs</t>
  </si>
  <si>
    <t>Prof. Fees, Legal, and Records</t>
  </si>
  <si>
    <t>Total Supplies</t>
  </si>
  <si>
    <t>Total Utilities</t>
  </si>
  <si>
    <t>Total Repair</t>
  </si>
  <si>
    <t>Machinery Leases</t>
  </si>
  <si>
    <t>Bldg Leases</t>
  </si>
  <si>
    <t>Tot Exp w/o Depr.</t>
  </si>
  <si>
    <t>Tot Exp w Depr.</t>
  </si>
  <si>
    <t xml:space="preserve">      </t>
  </si>
  <si>
    <t>Cst of Purchased Lvstk</t>
  </si>
  <si>
    <t xml:space="preserve">   </t>
  </si>
  <si>
    <t xml:space="preserve">          </t>
  </si>
  <si>
    <t>DHIA cows of 12/31</t>
  </si>
  <si>
    <t>Income/yr</t>
  </si>
  <si>
    <t>Debt per Cow</t>
  </si>
  <si>
    <t>Outside Equipmt Inventory Val</t>
  </si>
  <si>
    <t>Pounds of milk / Employee</t>
  </si>
  <si>
    <t>Cows per Employee</t>
  </si>
  <si>
    <t xml:space="preserve">Total Debt </t>
  </si>
  <si>
    <t>Pounds of milk / Stall</t>
  </si>
  <si>
    <t>Total Invest / cow</t>
  </si>
  <si>
    <t>Outside Equip / cow</t>
  </si>
  <si>
    <t>Number of Milking Stalls</t>
  </si>
  <si>
    <t>Total Exp w/o Depreciation</t>
  </si>
  <si>
    <t>Total Exp w Depreciation</t>
  </si>
  <si>
    <t>Hedge Account</t>
  </si>
  <si>
    <t>Hedge Account Revenue</t>
  </si>
  <si>
    <r>
      <t>H</t>
    </r>
    <r>
      <rPr>
        <b/>
        <sz val="10"/>
        <rFont val="Arial"/>
        <family val="2"/>
      </rPr>
      <t>edge Account Expense</t>
    </r>
  </si>
  <si>
    <t>Hedge Acct Balance</t>
  </si>
  <si>
    <t>Total Milk Returns</t>
  </si>
  <si>
    <t>Cow / day</t>
  </si>
  <si>
    <t>Cow / year</t>
  </si>
  <si>
    <t>Name of Dairy or Leave Blank</t>
  </si>
  <si>
    <t>DHI Herd Number or Coop producer Number</t>
  </si>
  <si>
    <t xml:space="preserve">Use Own inventory records </t>
  </si>
  <si>
    <t>Use farm records</t>
  </si>
  <si>
    <t xml:space="preserve">Use farm records or DHI </t>
  </si>
  <si>
    <t>Use Own inventory records or last DHI Summary Sheet of Year</t>
  </si>
  <si>
    <t>Use farm records, compost sales, embryos, crops, breeding stock</t>
  </si>
  <si>
    <t>Promotion</t>
  </si>
  <si>
    <t>DHI or alternative records</t>
  </si>
  <si>
    <t>Ear tags, ID systems, etc</t>
  </si>
  <si>
    <t>Cleaning corrals, hauling manure, spreading</t>
  </si>
  <si>
    <t>Owners that actively participate in labor on dairy should be included in FTE and employee numbers.</t>
  </si>
  <si>
    <t>Interest, Operating (short term)</t>
  </si>
  <si>
    <t>Prof Fees, dues and Legal</t>
  </si>
  <si>
    <t>No. of cows w/o Deprc.</t>
  </si>
  <si>
    <t>No. of cows with Deprc.</t>
  </si>
  <si>
    <t>Cwt of milk w/o Deprc.</t>
  </si>
  <si>
    <t>Cwt of milk with Deprc.</t>
  </si>
  <si>
    <t>No. Raised Heifers Freshening</t>
  </si>
  <si>
    <t>Total Lvstk sales</t>
  </si>
  <si>
    <t>Net Lvstk Sales</t>
  </si>
  <si>
    <t>Total Lvstk Sales</t>
  </si>
  <si>
    <t>Family Living / Mgt Draw</t>
  </si>
  <si>
    <t>Use yearly summary from your coop for analysis</t>
  </si>
  <si>
    <t>Use yearly summary of pounds of milk sold to coop</t>
  </si>
  <si>
    <t>Use either inventory records for January or First DHI Summary Sheet of Year</t>
  </si>
  <si>
    <t>Use receipts for cull cow sales or DHI total for year</t>
  </si>
  <si>
    <t>All bull and heifer calves sold before 6 month of age</t>
  </si>
  <si>
    <t>Use Depreciation cost from tax return</t>
  </si>
  <si>
    <t>All bulls sold after 6 month of age</t>
  </si>
  <si>
    <t>Use farm records, patronage, gas tax refunds, etc.,</t>
  </si>
  <si>
    <t>Report  costs from Coop Summary</t>
  </si>
  <si>
    <t>Might include lab expenses</t>
  </si>
  <si>
    <t>Inseminator charges, breeding supplies, mating analysis and semen</t>
  </si>
  <si>
    <t>Professional fees, nutritionist, accounting, and consultants</t>
  </si>
  <si>
    <t>Dairy soaps and chemicals, teat dips, towels and supplies used in barn</t>
  </si>
  <si>
    <t>Breed association costs, auto expenses, bank charges, trash, travel advertising, license fees</t>
  </si>
  <si>
    <t>Propane, natural gas for barn and other dairy enterprise activity but not labor or personal house</t>
  </si>
  <si>
    <t>For the barn and other dairy enterprise activity but not labor or personal use.</t>
  </si>
  <si>
    <t xml:space="preserve">Anything that fixes or repairs existing equipment (not replace or upgrade) </t>
  </si>
  <si>
    <t>FTE is Full time Equivalent and is equal to 48 hrs per person per week</t>
  </si>
  <si>
    <t>All benefits including retirement plans, incentive plans, utilities, meat processing, health insurance</t>
  </si>
  <si>
    <t>cost of housing with repairs and maintenance and depreciation, etc.</t>
  </si>
  <si>
    <t>All withholding taxes and workmen's compensation</t>
  </si>
  <si>
    <t>Heifer rearing cost</t>
  </si>
  <si>
    <t>If heifers are in a custom raising operations --ONLY charges fees-Yardage, etc.</t>
  </si>
  <si>
    <t>Total current market value of assets. On land include</t>
  </si>
  <si>
    <t>only the amount of land you consider necessary to operate the dairy.</t>
  </si>
  <si>
    <t xml:space="preserve">If you consider some farm land necessary for waste disposal, then </t>
  </si>
  <si>
    <t>include that value.</t>
  </si>
  <si>
    <t>From balance sheet</t>
  </si>
  <si>
    <t>Capital Invst less outside Equip</t>
  </si>
  <si>
    <t>Total Capital Investment</t>
  </si>
  <si>
    <t>Health Care Costs</t>
  </si>
  <si>
    <t>From own records</t>
  </si>
  <si>
    <t>Total Marketing Costs</t>
  </si>
  <si>
    <t>Total Depreciation</t>
  </si>
  <si>
    <t>Total Milk Returns (Sales + Hedge)</t>
  </si>
  <si>
    <t>Annual Profit/Cow</t>
  </si>
  <si>
    <t>Enterprise Financial Results</t>
  </si>
  <si>
    <t>Need to be accrual adjusted - Activity within Calendar Year</t>
  </si>
  <si>
    <t>As best you can, divide feed costs between the heifers and cows, and use accrual feed costs</t>
  </si>
  <si>
    <t>Use inventory or accrual adjusted costs</t>
  </si>
  <si>
    <t>Administrative</t>
  </si>
  <si>
    <t>Gas, diesel, oil used on dairy</t>
  </si>
  <si>
    <t>Water bills associated with the operation of the dairy barn and facilities.</t>
  </si>
  <si>
    <t>All wages associated with hired labor and a wage for owners physical labor @ $10/hr</t>
  </si>
  <si>
    <t>Annual Returns/Cow</t>
  </si>
  <si>
    <t>Annual Costs/Cow</t>
  </si>
  <si>
    <t>Other Health Costs</t>
  </si>
  <si>
    <t>Hedge Account Balance</t>
  </si>
  <si>
    <t>Current Assets</t>
  </si>
  <si>
    <t>Current Liabilities</t>
  </si>
  <si>
    <t>Cash</t>
  </si>
  <si>
    <t>Accounts Payable</t>
  </si>
  <si>
    <t>Notes Payable within 1 year</t>
  </si>
  <si>
    <t>Inventories</t>
  </si>
  <si>
    <t>Income Taxes Payable</t>
  </si>
  <si>
    <t>Real Estate Tax</t>
  </si>
  <si>
    <t>Current Portion of Term Debt:</t>
  </si>
  <si>
    <t>Prepaid Expenses</t>
  </si>
  <si>
    <t>Total Current Assets</t>
  </si>
  <si>
    <t>Total Current Liabilities</t>
  </si>
  <si>
    <t>Noncurrent Liabilities</t>
  </si>
  <si>
    <t>Noncurrent Assets</t>
  </si>
  <si>
    <t>Notes Payable</t>
  </si>
  <si>
    <t>Machines and Equipment</t>
  </si>
  <si>
    <t>Real Estate Debt</t>
  </si>
  <si>
    <t>Total Noncurrent Liabilities</t>
  </si>
  <si>
    <t xml:space="preserve">Land </t>
  </si>
  <si>
    <t>Total Liabilities</t>
  </si>
  <si>
    <t>Total Noncurrent Assets</t>
  </si>
  <si>
    <t>Total Assets</t>
  </si>
  <si>
    <t>Total Equity</t>
  </si>
  <si>
    <t>Total Liabilities and Owner Equity</t>
  </si>
  <si>
    <t>CWT Milk Sold</t>
  </si>
  <si>
    <t>1st qtr 2009</t>
  </si>
  <si>
    <t>2nd qtr 2009</t>
  </si>
  <si>
    <t>3rd qtr 2009</t>
  </si>
  <si>
    <t>2009 ytd</t>
  </si>
  <si>
    <t>INCOME</t>
  </si>
  <si>
    <t>Milk</t>
  </si>
  <si>
    <t>Calves sold</t>
  </si>
  <si>
    <t>Cull cows</t>
  </si>
  <si>
    <t>FSA  Payments</t>
  </si>
  <si>
    <t>Patronage</t>
  </si>
  <si>
    <t xml:space="preserve">Misc </t>
  </si>
  <si>
    <t>TOTAL</t>
  </si>
  <si>
    <t>EXPENSES</t>
  </si>
  <si>
    <t>Feed- Lactating cows</t>
  </si>
  <si>
    <t>Feed- Dry cows</t>
  </si>
  <si>
    <t>Feed-Heifers &amp; bull calves</t>
  </si>
  <si>
    <t>DFA Deductions</t>
  </si>
  <si>
    <t>Herd Health</t>
  </si>
  <si>
    <t>Repairs</t>
  </si>
  <si>
    <t>Insurance/Taxes</t>
  </si>
  <si>
    <t>Professional</t>
  </si>
  <si>
    <t xml:space="preserve">Interest </t>
  </si>
  <si>
    <t>Lease Fees</t>
  </si>
  <si>
    <t>Principal Payments</t>
  </si>
  <si>
    <t xml:space="preserve">Draw </t>
  </si>
  <si>
    <t>Total</t>
  </si>
  <si>
    <t>GRAND TOTAL</t>
  </si>
  <si>
    <t>NET</t>
  </si>
  <si>
    <t>BREAK EVEN MILK PRICE</t>
  </si>
  <si>
    <t>Breeding Herd</t>
  </si>
  <si>
    <t>Calves to be sold</t>
  </si>
  <si>
    <t>Revenue</t>
  </si>
  <si>
    <t>Total Revenue</t>
  </si>
  <si>
    <t>Expenses</t>
  </si>
  <si>
    <t>Operating expenses</t>
  </si>
  <si>
    <t>Total operating expenses</t>
  </si>
  <si>
    <t>Interest paid</t>
  </si>
  <si>
    <t>Change in accrued interest</t>
  </si>
  <si>
    <t>Total Farm Expenses</t>
  </si>
  <si>
    <t>Net Farm Income from Operations</t>
  </si>
  <si>
    <t>Gain/Loss on Sale of Capital Assets</t>
  </si>
  <si>
    <t>Net Farm Income</t>
  </si>
  <si>
    <t>Non Farm Adjustments</t>
  </si>
  <si>
    <t>Income &amp; SS taxes</t>
  </si>
  <si>
    <t xml:space="preserve">  Chng in accr inc &amp; ss</t>
  </si>
  <si>
    <t>Total Non-Farm Adjustment</t>
  </si>
  <si>
    <t>After-Tax Net Income</t>
  </si>
  <si>
    <t>Livestock Sales</t>
  </si>
  <si>
    <t>Cost of Purchased Livestock</t>
  </si>
  <si>
    <t>TOTAL  MARKETING COSTS</t>
  </si>
  <si>
    <t>DAIRY ENTERPRISE INCOME STATEMENT</t>
  </si>
  <si>
    <t>DAIRY ENTERPRISE BALANCE SHEET</t>
  </si>
  <si>
    <t>Accts Receivable</t>
  </si>
  <si>
    <t>4th qtr 2009</t>
  </si>
  <si>
    <t>Equipment</t>
  </si>
  <si>
    <t>Owner's Equity</t>
  </si>
  <si>
    <t>Current Ratio</t>
  </si>
  <si>
    <t>Owners Equity</t>
  </si>
  <si>
    <t>Total Debt/Cow</t>
  </si>
  <si>
    <t>Financial Ratios</t>
  </si>
  <si>
    <t>Dairy Enterprise</t>
  </si>
  <si>
    <t>Capacity Ratios</t>
  </si>
  <si>
    <t>Prop Debt Cvg</t>
  </si>
  <si>
    <t>Buildings</t>
  </si>
  <si>
    <t>BENCHMARK DAIRY BALANCE SHEET</t>
  </si>
  <si>
    <t>BENCHMARK DAIRY INCOME STATEMENT</t>
  </si>
  <si>
    <t>Additional Ratios</t>
  </si>
  <si>
    <t>Debt:Asset</t>
  </si>
  <si>
    <t>Earnings on Sales</t>
  </si>
  <si>
    <t>Asset Turnover</t>
  </si>
  <si>
    <t>Basic Earning Power</t>
  </si>
  <si>
    <t>ROE</t>
  </si>
  <si>
    <t>Non-Current Assets</t>
  </si>
  <si>
    <t>Non-Current Liabilities</t>
  </si>
  <si>
    <t>Total Liabilities and Owners Equity</t>
  </si>
  <si>
    <t>Total Operating Expenses</t>
  </si>
  <si>
    <t>Net Operating Income</t>
  </si>
  <si>
    <t>Net Income</t>
  </si>
  <si>
    <t>Non-Farm Adjustments</t>
  </si>
  <si>
    <t>SS and Income Taxes</t>
  </si>
  <si>
    <t xml:space="preserve">After Tax Net Income </t>
  </si>
  <si>
    <t>***If posting a loss enter a negative number. ***</t>
  </si>
  <si>
    <t>Interest Payments</t>
  </si>
  <si>
    <t>Enterprise Budget Records</t>
  </si>
  <si>
    <t>Fly control, etc.</t>
  </si>
  <si>
    <t>Gross Revenues</t>
  </si>
  <si>
    <t>Hedge Acct</t>
  </si>
  <si>
    <t>DuPont Analysis</t>
  </si>
  <si>
    <t>***Use information from your most recent Balance Sheet***</t>
  </si>
  <si>
    <t>***Use the Revenue and Expense lines from your most recent Income Statement***</t>
  </si>
  <si>
    <t>Livestock</t>
  </si>
  <si>
    <t>Dairy Afford-A-Cow Table</t>
  </si>
  <si>
    <t>per cow</t>
  </si>
  <si>
    <t>cow/day</t>
  </si>
  <si>
    <t>Average annual pounds of milk sold per cow</t>
  </si>
  <si>
    <t>Milk price ($ per hundredweight)</t>
  </si>
  <si>
    <t>Gross revenue from annual milk sales (line 1 ÷ 100 x line 2)</t>
  </si>
  <si>
    <t>Average annual revenue from cull cow, breeding animal and other capital asset sales</t>
  </si>
  <si>
    <t>Average annual revenue from calves</t>
  </si>
  <si>
    <t>Annual gross revenue from all dairy sources  (line 3 + line 4 + line 5)</t>
  </si>
  <si>
    <t>Annual feed expense</t>
  </si>
  <si>
    <t>Annual other expenses</t>
  </si>
  <si>
    <t>Annual net returns from cow (line 6 - line7  - line8 )</t>
  </si>
  <si>
    <t>Annual income from nondairy sources</t>
  </si>
  <si>
    <t xml:space="preserve">Annual equity capital expenditures for capital replacement
and/or expansion
</t>
  </si>
  <si>
    <t>Annual family living expenditures</t>
  </si>
  <si>
    <t>Annual income and social security taxes</t>
  </si>
  <si>
    <t>Annual principal and interest on existing capital debt</t>
  </si>
  <si>
    <t xml:space="preserve">Loan amortization factor on additional capital debt for __ % after-tax interest rate and __ years in loan repayment period </t>
  </si>
  <si>
    <t>Existing capital debt</t>
  </si>
  <si>
    <t>Maximum total capital debt carrying capacity (line 18+19)</t>
  </si>
  <si>
    <t>Maximum additional capital debt carrying capacity
(line 16 ÷ line 17)</t>
  </si>
  <si>
    <t>Total other annual cash outflows (line 11 + line 12 + line 13 + line 14)</t>
  </si>
  <si>
    <t>Annual funds available for servicing additional capital debt
(line 9 + line 10 - line 15)</t>
  </si>
  <si>
    <t>Breakeven Milk Price $/cwt</t>
  </si>
  <si>
    <t>Expenses as % Total Exps</t>
  </si>
  <si>
    <t xml:space="preserve">Revenues as % Gross Returns </t>
  </si>
  <si>
    <t>Number of Cows</t>
  </si>
  <si>
    <t>% Total Exps</t>
  </si>
  <si>
    <t>Dry Cow Costs</t>
  </si>
  <si>
    <t>CWT</t>
  </si>
  <si>
    <t>Cooperatives Working Together expenses</t>
  </si>
  <si>
    <t>Use figures from Accountant</t>
  </si>
  <si>
    <t>Non Fuel Vehicle Expenses</t>
  </si>
  <si>
    <t>Interest, Intermediate</t>
  </si>
  <si>
    <t>Interest Long Term</t>
  </si>
  <si>
    <t>Dry Cow Feed</t>
  </si>
  <si>
    <t>Non-Fuel Vehicle Exps</t>
  </si>
  <si>
    <t>Analysis With Depreciation</t>
  </si>
  <si>
    <t>Analysis Without Depreciation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</si>
</sst>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_(* #,##0_);_(* \(#,##0\);_(* &quot;-&quot;??_);_(@_)"/>
    <numFmt numFmtId="168" formatCode="\5\9\6\4#,##0\1\2"/>
    <numFmt numFmtId="169" formatCode="_(* #,##0.00_);_(* \(#,##0.00\);_(* &quot;-&quot;_);_(@_)"/>
    <numFmt numFmtId="170" formatCode="0.000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i/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i/>
      <sz val="11"/>
      <color rgb="FF006100"/>
      <name val="Calibri"/>
      <family val="2"/>
      <scheme val="minor"/>
    </font>
    <font>
      <b/>
      <sz val="11"/>
      <color theme="5" tint="0.79998168889431442"/>
      <name val="Calibri"/>
      <family val="2"/>
      <scheme val="minor"/>
    </font>
    <font>
      <sz val="16"/>
      <color rgb="FFFFFF00"/>
      <name val="Arial"/>
      <family val="2"/>
    </font>
    <font>
      <sz val="20"/>
      <color rgb="FFFFFF00"/>
      <name val="Arial"/>
      <family val="2"/>
    </font>
    <font>
      <sz val="18"/>
      <color rgb="FFFFFF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1F920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9EF0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 applyBorder="0"/>
    <xf numFmtId="0" fontId="16" fillId="4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0" borderId="0" applyBorder="0"/>
    <xf numFmtId="0" fontId="7" fillId="0" borderId="0"/>
    <xf numFmtId="0" fontId="7" fillId="0" borderId="0"/>
    <xf numFmtId="0" fontId="7" fillId="0" borderId="0"/>
    <xf numFmtId="9" fontId="11" fillId="0" borderId="0" applyFont="0" applyFill="0" applyBorder="0" applyAlignment="0" applyProtection="0"/>
    <xf numFmtId="0" fontId="18" fillId="7" borderId="0"/>
    <xf numFmtId="0" fontId="20" fillId="8" borderId="0"/>
    <xf numFmtId="7" fontId="18" fillId="5" borderId="1" applyBorder="0"/>
    <xf numFmtId="4" fontId="1" fillId="0" borderId="2" applyFont="0" applyFill="0" applyBorder="0" applyAlignment="0"/>
  </cellStyleXfs>
  <cellXfs count="4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4" fontId="0" fillId="0" borderId="0" xfId="0" applyNumberFormat="1"/>
    <xf numFmtId="0" fontId="5" fillId="0" borderId="0" xfId="0" applyFont="1"/>
    <xf numFmtId="0" fontId="2" fillId="2" borderId="1" xfId="0" applyFont="1" applyFill="1" applyBorder="1" applyProtection="1">
      <protection locked="0"/>
    </xf>
    <xf numFmtId="164" fontId="2" fillId="3" borderId="0" xfId="0" applyNumberFormat="1" applyFont="1" applyFill="1" applyBorder="1" applyProtection="1">
      <protection locked="0"/>
    </xf>
    <xf numFmtId="164" fontId="4" fillId="0" borderId="1" xfId="0" applyNumberFormat="1" applyFont="1" applyBorder="1"/>
    <xf numFmtId="10" fontId="0" fillId="0" borderId="0" xfId="0" applyNumberFormat="1"/>
    <xf numFmtId="0" fontId="4" fillId="0" borderId="1" xfId="0" applyFont="1" applyBorder="1"/>
    <xf numFmtId="0" fontId="0" fillId="0" borderId="3" xfId="0" applyBorder="1"/>
    <xf numFmtId="164" fontId="4" fillId="0" borderId="3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0" xfId="0" applyFont="1" applyBorder="1"/>
    <xf numFmtId="0" fontId="0" fillId="0" borderId="0" xfId="0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0" fontId="5" fillId="0" borderId="0" xfId="0" applyFont="1" applyBorder="1"/>
    <xf numFmtId="10" fontId="2" fillId="0" borderId="0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2" borderId="1" xfId="0" applyNumberFormat="1" applyFont="1" applyFill="1" applyBorder="1" applyProtection="1">
      <protection locked="0"/>
    </xf>
    <xf numFmtId="3" fontId="2" fillId="3" borderId="0" xfId="0" applyNumberFormat="1" applyFont="1" applyFill="1"/>
    <xf numFmtId="0" fontId="3" fillId="0" borderId="0" xfId="0" applyFont="1" applyBorder="1"/>
    <xf numFmtId="10" fontId="5" fillId="0" borderId="0" xfId="0" applyNumberFormat="1" applyFont="1" applyBorder="1"/>
    <xf numFmtId="10" fontId="0" fillId="0" borderId="0" xfId="0" applyNumberFormat="1" applyBorder="1"/>
    <xf numFmtId="0" fontId="4" fillId="0" borderId="4" xfId="0" applyFont="1" applyBorder="1"/>
    <xf numFmtId="0" fontId="5" fillId="2" borderId="1" xfId="0" applyFont="1" applyFill="1" applyBorder="1" applyProtection="1">
      <protection locked="0"/>
    </xf>
    <xf numFmtId="0" fontId="2" fillId="0" borderId="5" xfId="0" applyFont="1" applyBorder="1"/>
    <xf numFmtId="0" fontId="3" fillId="0" borderId="6" xfId="0" applyFont="1" applyBorder="1"/>
    <xf numFmtId="0" fontId="2" fillId="0" borderId="0" xfId="0" applyFont="1" applyBorder="1"/>
    <xf numFmtId="0" fontId="5" fillId="0" borderId="0" xfId="0" applyFont="1" applyBorder="1" applyProtection="1">
      <protection locked="0"/>
    </xf>
    <xf numFmtId="2" fontId="5" fillId="0" borderId="0" xfId="0" applyNumberFormat="1" applyFont="1" applyBorder="1" applyProtection="1">
      <protection locked="0"/>
    </xf>
    <xf numFmtId="0" fontId="2" fillId="0" borderId="0" xfId="0" applyFont="1" applyBorder="1" applyAlignment="1">
      <alignment horizontal="left"/>
    </xf>
    <xf numFmtId="10" fontId="5" fillId="0" borderId="0" xfId="0" applyNumberFormat="1" applyFont="1" applyBorder="1" applyProtection="1">
      <protection locked="0"/>
    </xf>
    <xf numFmtId="1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Fill="1" applyBorder="1"/>
    <xf numFmtId="0" fontId="2" fillId="0" borderId="7" xfId="0" applyFont="1" applyBorder="1"/>
    <xf numFmtId="164" fontId="2" fillId="2" borderId="7" xfId="0" applyNumberFormat="1" applyFont="1" applyFill="1" applyBorder="1" applyProtection="1">
      <protection locked="0"/>
    </xf>
    <xf numFmtId="0" fontId="4" fillId="0" borderId="8" xfId="0" applyFont="1" applyBorder="1"/>
    <xf numFmtId="164" fontId="4" fillId="0" borderId="3" xfId="0" applyNumberFormat="1" applyFont="1" applyBorder="1" applyProtection="1"/>
    <xf numFmtId="164" fontId="2" fillId="2" borderId="8" xfId="0" applyNumberFormat="1" applyFont="1" applyFill="1" applyBorder="1" applyProtection="1">
      <protection locked="0"/>
    </xf>
    <xf numFmtId="164" fontId="2" fillId="0" borderId="8" xfId="0" applyNumberFormat="1" applyFont="1" applyBorder="1"/>
    <xf numFmtId="3" fontId="2" fillId="2" borderId="1" xfId="0" applyNumberFormat="1" applyFont="1" applyFill="1" applyBorder="1" applyProtection="1">
      <protection locked="0"/>
    </xf>
    <xf numFmtId="167" fontId="2" fillId="2" borderId="1" xfId="2" applyNumberFormat="1" applyFont="1" applyFill="1" applyBorder="1" applyProtection="1">
      <protection locked="0"/>
    </xf>
    <xf numFmtId="44" fontId="0" fillId="0" borderId="0" xfId="0" applyNumberFormat="1"/>
    <xf numFmtId="0" fontId="0" fillId="0" borderId="9" xfId="0" applyBorder="1"/>
    <xf numFmtId="43" fontId="0" fillId="0" borderId="0" xfId="2" applyFont="1"/>
    <xf numFmtId="1" fontId="5" fillId="0" borderId="0" xfId="0" applyNumberFormat="1" applyFont="1" applyBorder="1" applyProtection="1">
      <protection locked="0"/>
    </xf>
    <xf numFmtId="0" fontId="0" fillId="0" borderId="0" xfId="0" applyFill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2" fillId="0" borderId="0" xfId="0" applyFont="1" applyFill="1" applyBorder="1" applyProtection="1">
      <protection locked="0"/>
    </xf>
    <xf numFmtId="0" fontId="0" fillId="0" borderId="0" xfId="0" applyFill="1" applyBorder="1"/>
    <xf numFmtId="0" fontId="0" fillId="0" borderId="9" xfId="0" applyBorder="1" applyAlignment="1">
      <alignment horizontal="center"/>
    </xf>
    <xf numFmtId="164" fontId="2" fillId="0" borderId="0" xfId="0" applyNumberFormat="1" applyFont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Border="1"/>
    <xf numFmtId="0" fontId="4" fillId="0" borderId="10" xfId="0" applyFont="1" applyBorder="1"/>
    <xf numFmtId="0" fontId="0" fillId="0" borderId="10" xfId="0" applyBorder="1"/>
    <xf numFmtId="0" fontId="2" fillId="0" borderId="10" xfId="0" applyFont="1" applyBorder="1"/>
    <xf numFmtId="0" fontId="2" fillId="0" borderId="11" xfId="0" applyFont="1" applyBorder="1"/>
    <xf numFmtId="164" fontId="2" fillId="0" borderId="9" xfId="0" applyNumberFormat="1" applyFont="1" applyBorder="1" applyProtection="1">
      <protection locked="0"/>
    </xf>
    <xf numFmtId="164" fontId="2" fillId="0" borderId="9" xfId="0" applyNumberFormat="1" applyFont="1" applyBorder="1"/>
    <xf numFmtId="165" fontId="2" fillId="0" borderId="9" xfId="0" applyNumberFormat="1" applyFont="1" applyBorder="1"/>
    <xf numFmtId="10" fontId="2" fillId="0" borderId="12" xfId="0" applyNumberFormat="1" applyFont="1" applyBorder="1"/>
    <xf numFmtId="0" fontId="2" fillId="0" borderId="13" xfId="0" applyFont="1" applyBorder="1"/>
    <xf numFmtId="10" fontId="2" fillId="0" borderId="2" xfId="0" applyNumberFormat="1" applyFont="1" applyBorder="1"/>
    <xf numFmtId="10" fontId="5" fillId="0" borderId="2" xfId="0" applyNumberFormat="1" applyFont="1" applyBorder="1"/>
    <xf numFmtId="0" fontId="2" fillId="0" borderId="14" xfId="0" applyFont="1" applyBorder="1"/>
    <xf numFmtId="10" fontId="0" fillId="0" borderId="2" xfId="0" applyNumberFormat="1" applyBorder="1"/>
    <xf numFmtId="0" fontId="0" fillId="0" borderId="13" xfId="0" applyBorder="1"/>
    <xf numFmtId="0" fontId="4" fillId="0" borderId="14" xfId="0" applyFont="1" applyBorder="1"/>
    <xf numFmtId="0" fontId="3" fillId="0" borderId="11" xfId="0" applyFont="1" applyBorder="1"/>
    <xf numFmtId="0" fontId="2" fillId="0" borderId="9" xfId="0" applyFont="1" applyBorder="1"/>
    <xf numFmtId="0" fontId="3" fillId="0" borderId="13" xfId="0" applyFont="1" applyBorder="1"/>
    <xf numFmtId="0" fontId="4" fillId="9" borderId="14" xfId="0" applyFont="1" applyFill="1" applyBorder="1"/>
    <xf numFmtId="0" fontId="4" fillId="9" borderId="10" xfId="0" applyFont="1" applyFill="1" applyBorder="1"/>
    <xf numFmtId="164" fontId="4" fillId="9" borderId="10" xfId="0" applyNumberFormat="1" applyFont="1" applyFill="1" applyBorder="1"/>
    <xf numFmtId="165" fontId="4" fillId="9" borderId="10" xfId="0" applyNumberFormat="1" applyFont="1" applyFill="1" applyBorder="1"/>
    <xf numFmtId="10" fontId="4" fillId="9" borderId="15" xfId="0" applyNumberFormat="1" applyFont="1" applyFill="1" applyBorder="1"/>
    <xf numFmtId="0" fontId="4" fillId="0" borderId="11" xfId="0" applyFont="1" applyBorder="1"/>
    <xf numFmtId="0" fontId="3" fillId="0" borderId="9" xfId="0" applyFont="1" applyBorder="1"/>
    <xf numFmtId="0" fontId="0" fillId="0" borderId="12" xfId="0" applyBorder="1"/>
    <xf numFmtId="0" fontId="0" fillId="0" borderId="13" xfId="0" applyBorder="1" applyAlignment="1"/>
    <xf numFmtId="0" fontId="0" fillId="0" borderId="13" xfId="0" applyBorder="1" applyAlignment="1">
      <alignment horizontal="center"/>
    </xf>
    <xf numFmtId="0" fontId="3" fillId="9" borderId="10" xfId="0" applyFont="1" applyFill="1" applyBorder="1"/>
    <xf numFmtId="0" fontId="4" fillId="0" borderId="9" xfId="0" applyFont="1" applyBorder="1"/>
    <xf numFmtId="10" fontId="0" fillId="0" borderId="12" xfId="0" applyNumberFormat="1" applyBorder="1"/>
    <xf numFmtId="0" fontId="0" fillId="9" borderId="6" xfId="0" applyFill="1" applyBorder="1"/>
    <xf numFmtId="0" fontId="4" fillId="9" borderId="16" xfId="0" applyFont="1" applyFill="1" applyBorder="1"/>
    <xf numFmtId="0" fontId="0" fillId="9" borderId="16" xfId="0" applyFill="1" applyBorder="1" applyAlignment="1">
      <alignment horizontal="center"/>
    </xf>
    <xf numFmtId="164" fontId="2" fillId="9" borderId="16" xfId="0" applyNumberFormat="1" applyFont="1" applyFill="1" applyBorder="1"/>
    <xf numFmtId="165" fontId="2" fillId="9" borderId="16" xfId="0" applyNumberFormat="1" applyFont="1" applyFill="1" applyBorder="1"/>
    <xf numFmtId="165" fontId="2" fillId="9" borderId="5" xfId="0" applyNumberFormat="1" applyFont="1" applyFill="1" applyBorder="1"/>
    <xf numFmtId="0" fontId="4" fillId="10" borderId="0" xfId="0" applyFont="1" applyFill="1" applyBorder="1"/>
    <xf numFmtId="0" fontId="4" fillId="11" borderId="17" xfId="0" applyFont="1" applyFill="1" applyBorder="1"/>
    <xf numFmtId="0" fontId="0" fillId="11" borderId="17" xfId="0" applyFill="1" applyBorder="1"/>
    <xf numFmtId="164" fontId="4" fillId="11" borderId="17" xfId="0" applyNumberFormat="1" applyFont="1" applyFill="1" applyBorder="1"/>
    <xf numFmtId="165" fontId="4" fillId="11" borderId="17" xfId="0" applyNumberFormat="1" applyFont="1" applyFill="1" applyBorder="1"/>
    <xf numFmtId="0" fontId="4" fillId="12" borderId="18" xfId="0" applyFont="1" applyFill="1" applyBorder="1"/>
    <xf numFmtId="0" fontId="5" fillId="12" borderId="18" xfId="0" applyFont="1" applyFill="1" applyBorder="1"/>
    <xf numFmtId="164" fontId="4" fillId="12" borderId="18" xfId="0" applyNumberFormat="1" applyFont="1" applyFill="1" applyBorder="1"/>
    <xf numFmtId="165" fontId="4" fillId="12" borderId="18" xfId="0" applyNumberFormat="1" applyFont="1" applyFill="1" applyBorder="1"/>
    <xf numFmtId="0" fontId="4" fillId="0" borderId="13" xfId="0" applyFont="1" applyBorder="1"/>
    <xf numFmtId="0" fontId="4" fillId="12" borderId="11" xfId="0" applyFont="1" applyFill="1" applyBorder="1"/>
    <xf numFmtId="0" fontId="4" fillId="12" borderId="9" xfId="0" applyFont="1" applyFill="1" applyBorder="1"/>
    <xf numFmtId="0" fontId="0" fillId="12" borderId="9" xfId="0" applyFill="1" applyBorder="1"/>
    <xf numFmtId="164" fontId="4" fillId="12" borderId="12" xfId="0" applyNumberFormat="1" applyFont="1" applyFill="1" applyBorder="1"/>
    <xf numFmtId="3" fontId="4" fillId="0" borderId="12" xfId="0" applyNumberFormat="1" applyFont="1" applyBorder="1"/>
    <xf numFmtId="3" fontId="4" fillId="0" borderId="2" xfId="0" applyNumberFormat="1" applyFont="1" applyBorder="1"/>
    <xf numFmtId="1" fontId="4" fillId="0" borderId="2" xfId="0" applyNumberFormat="1" applyFont="1" applyBorder="1"/>
    <xf numFmtId="1" fontId="4" fillId="0" borderId="15" xfId="0" applyNumberFormat="1" applyFont="1" applyBorder="1"/>
    <xf numFmtId="166" fontId="2" fillId="0" borderId="12" xfId="0" applyNumberFormat="1" applyFont="1" applyBorder="1"/>
    <xf numFmtId="166" fontId="2" fillId="0" borderId="2" xfId="0" applyNumberFormat="1" applyFont="1" applyBorder="1"/>
    <xf numFmtId="3" fontId="2" fillId="0" borderId="2" xfId="0" applyNumberFormat="1" applyFont="1" applyBorder="1"/>
    <xf numFmtId="3" fontId="2" fillId="0" borderId="15" xfId="0" applyNumberFormat="1" applyFont="1" applyBorder="1"/>
    <xf numFmtId="164" fontId="3" fillId="9" borderId="10" xfId="0" applyNumberFormat="1" applyFont="1" applyFill="1" applyBorder="1"/>
    <xf numFmtId="165" fontId="3" fillId="9" borderId="10" xfId="0" applyNumberFormat="1" applyFont="1" applyFill="1" applyBorder="1"/>
    <xf numFmtId="10" fontId="5" fillId="9" borderId="15" xfId="0" applyNumberFormat="1" applyFont="1" applyFill="1" applyBorder="1"/>
    <xf numFmtId="0" fontId="4" fillId="0" borderId="0" xfId="0" applyFont="1" applyFill="1" applyBorder="1"/>
    <xf numFmtId="0" fontId="4" fillId="13" borderId="18" xfId="0" applyFont="1" applyFill="1" applyBorder="1"/>
    <xf numFmtId="164" fontId="4" fillId="13" borderId="18" xfId="0" applyNumberFormat="1" applyFont="1" applyFill="1" applyBorder="1"/>
    <xf numFmtId="0" fontId="4" fillId="10" borderId="13" xfId="0" applyFont="1" applyFill="1" applyBorder="1"/>
    <xf numFmtId="0" fontId="4" fillId="12" borderId="10" xfId="0" applyFont="1" applyFill="1" applyBorder="1"/>
    <xf numFmtId="165" fontId="4" fillId="10" borderId="2" xfId="0" applyNumberFormat="1" applyFont="1" applyFill="1" applyBorder="1"/>
    <xf numFmtId="165" fontId="4" fillId="12" borderId="15" xfId="0" applyNumberFormat="1" applyFont="1" applyFill="1" applyBorder="1"/>
    <xf numFmtId="0" fontId="21" fillId="12" borderId="13" xfId="0" applyFont="1" applyFill="1" applyBorder="1"/>
    <xf numFmtId="0" fontId="21" fillId="12" borderId="0" xfId="0" applyFont="1" applyFill="1" applyBorder="1"/>
    <xf numFmtId="0" fontId="22" fillId="12" borderId="0" xfId="0" applyFont="1" applyFill="1" applyBorder="1"/>
    <xf numFmtId="0" fontId="5" fillId="0" borderId="0" xfId="0" applyFont="1" applyFill="1" applyBorder="1" applyProtection="1">
      <protection locked="0"/>
    </xf>
    <xf numFmtId="0" fontId="0" fillId="0" borderId="5" xfId="0" applyFill="1" applyBorder="1"/>
    <xf numFmtId="0" fontId="2" fillId="0" borderId="1" xfId="0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3" fontId="2" fillId="3" borderId="15" xfId="0" applyNumberFormat="1" applyFont="1" applyFill="1" applyBorder="1"/>
    <xf numFmtId="0" fontId="4" fillId="0" borderId="0" xfId="0" applyFont="1" applyFill="1"/>
    <xf numFmtId="164" fontId="0" fillId="0" borderId="0" xfId="0" applyNumberFormat="1" applyFill="1" applyProtection="1"/>
    <xf numFmtId="0" fontId="4" fillId="0" borderId="19" xfId="0" applyFont="1" applyBorder="1"/>
    <xf numFmtId="0" fontId="2" fillId="0" borderId="12" xfId="0" applyFont="1" applyBorder="1"/>
    <xf numFmtId="0" fontId="0" fillId="12" borderId="1" xfId="0" applyFill="1" applyBorder="1"/>
    <xf numFmtId="0" fontId="4" fillId="13" borderId="0" xfId="0" applyFont="1" applyFill="1"/>
    <xf numFmtId="0" fontId="2" fillId="13" borderId="14" xfId="0" applyFont="1" applyFill="1" applyBorder="1"/>
    <xf numFmtId="0" fontId="2" fillId="13" borderId="10" xfId="0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0" fontId="4" fillId="14" borderId="1" xfId="0" applyFont="1" applyFill="1" applyBorder="1"/>
    <xf numFmtId="164" fontId="4" fillId="14" borderId="6" xfId="0" applyNumberFormat="1" applyFont="1" applyFill="1" applyBorder="1"/>
    <xf numFmtId="0" fontId="4" fillId="9" borderId="1" xfId="0" applyFont="1" applyFill="1" applyBorder="1"/>
    <xf numFmtId="164" fontId="4" fillId="9" borderId="6" xfId="0" applyNumberFormat="1" applyFont="1" applyFill="1" applyBorder="1"/>
    <xf numFmtId="0" fontId="4" fillId="0" borderId="20" xfId="0" applyFont="1" applyBorder="1"/>
    <xf numFmtId="0" fontId="5" fillId="0" borderId="1" xfId="0" applyFont="1" applyBorder="1"/>
    <xf numFmtId="164" fontId="2" fillId="14" borderId="1" xfId="0" applyNumberFormat="1" applyFont="1" applyFill="1" applyBorder="1" applyProtection="1"/>
    <xf numFmtId="7" fontId="21" fillId="12" borderId="2" xfId="3" applyNumberFormat="1" applyFont="1" applyFill="1" applyBorder="1"/>
    <xf numFmtId="7" fontId="0" fillId="0" borderId="0" xfId="0" applyNumberFormat="1" applyBorder="1"/>
    <xf numFmtId="0" fontId="3" fillId="13" borderId="18" xfId="0" applyFont="1" applyFill="1" applyBorder="1"/>
    <xf numFmtId="0" fontId="5" fillId="0" borderId="0" xfId="8" applyFont="1"/>
    <xf numFmtId="0" fontId="5" fillId="0" borderId="0" xfId="7" applyFont="1" applyAlignment="1">
      <alignment horizontal="centerContinuous"/>
    </xf>
    <xf numFmtId="0" fontId="5" fillId="0" borderId="0" xfId="7" applyFont="1"/>
    <xf numFmtId="37" fontId="8" fillId="0" borderId="0" xfId="9" applyNumberFormat="1" applyFont="1" applyAlignment="1" applyProtection="1">
      <alignment horizontal="centerContinuous"/>
    </xf>
    <xf numFmtId="168" fontId="0" fillId="0" borderId="0" xfId="0" applyNumberFormat="1"/>
    <xf numFmtId="41" fontId="0" fillId="0" borderId="0" xfId="0" applyNumberFormat="1"/>
    <xf numFmtId="0" fontId="2" fillId="0" borderId="0" xfId="0" applyFont="1" applyAlignment="1">
      <alignment horizontal="center"/>
    </xf>
    <xf numFmtId="169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/>
    </xf>
    <xf numFmtId="41" fontId="5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169" fontId="2" fillId="0" borderId="0" xfId="0" applyNumberFormat="1" applyFont="1"/>
    <xf numFmtId="41" fontId="2" fillId="0" borderId="0" xfId="0" applyNumberFormat="1" applyFont="1"/>
    <xf numFmtId="0" fontId="2" fillId="0" borderId="0" xfId="0" applyNumberFormat="1" applyFont="1"/>
    <xf numFmtId="0" fontId="5" fillId="0" borderId="0" xfId="8" applyFont="1" applyFill="1" applyBorder="1" applyAlignment="1" applyProtection="1">
      <alignment horizontal="left"/>
    </xf>
    <xf numFmtId="37" fontId="5" fillId="0" borderId="0" xfId="9" applyNumberFormat="1" applyFont="1" applyProtection="1"/>
    <xf numFmtId="0" fontId="4" fillId="0" borderId="4" xfId="0" applyFont="1" applyBorder="1" applyAlignment="1">
      <alignment wrapText="1"/>
    </xf>
    <xf numFmtId="0" fontId="5" fillId="0" borderId="0" xfId="9" applyFont="1" applyBorder="1"/>
    <xf numFmtId="37" fontId="2" fillId="0" borderId="0" xfId="9" applyNumberFormat="1" applyFont="1" applyBorder="1" applyAlignment="1" applyProtection="1">
      <alignment horizontal="left"/>
    </xf>
    <xf numFmtId="37" fontId="5" fillId="0" borderId="0" xfId="9" applyNumberFormat="1" applyFont="1" applyBorder="1" applyProtection="1"/>
    <xf numFmtId="37" fontId="5" fillId="0" borderId="0" xfId="9" applyNumberFormat="1" applyFont="1" applyBorder="1" applyAlignment="1" applyProtection="1">
      <alignment horizontal="left"/>
    </xf>
    <xf numFmtId="0" fontId="5" fillId="0" borderId="0" xfId="9" applyFont="1" applyBorder="1" applyAlignment="1" applyProtection="1">
      <alignment horizontal="left"/>
    </xf>
    <xf numFmtId="37" fontId="2" fillId="0" borderId="11" xfId="9" applyNumberFormat="1" applyFont="1" applyBorder="1" applyAlignment="1" applyProtection="1">
      <alignment horizontal="left"/>
    </xf>
    <xf numFmtId="37" fontId="5" fillId="0" borderId="9" xfId="9" applyNumberFormat="1" applyFont="1" applyBorder="1" applyProtection="1"/>
    <xf numFmtId="0" fontId="5" fillId="0" borderId="13" xfId="9" applyFont="1" applyBorder="1"/>
    <xf numFmtId="37" fontId="9" fillId="0" borderId="6" xfId="9" applyNumberFormat="1" applyFont="1" applyBorder="1" applyAlignment="1" applyProtection="1">
      <alignment horizontal="left"/>
    </xf>
    <xf numFmtId="37" fontId="9" fillId="0" borderId="16" xfId="9" applyNumberFormat="1" applyFont="1" applyBorder="1" applyProtection="1"/>
    <xf numFmtId="0" fontId="19" fillId="6" borderId="14" xfId="5" applyBorder="1" applyAlignment="1" applyProtection="1">
      <alignment horizontal="left"/>
    </xf>
    <xf numFmtId="0" fontId="19" fillId="6" borderId="10" xfId="5" applyBorder="1"/>
    <xf numFmtId="0" fontId="23" fillId="5" borderId="6" xfId="4" applyFont="1" applyBorder="1" applyAlignment="1" applyProtection="1">
      <alignment horizontal="left"/>
    </xf>
    <xf numFmtId="0" fontId="23" fillId="5" borderId="16" xfId="4" applyFont="1" applyBorder="1"/>
    <xf numFmtId="37" fontId="23" fillId="5" borderId="6" xfId="4" applyNumberFormat="1" applyFont="1" applyBorder="1" applyAlignment="1" applyProtection="1">
      <alignment horizontal="left"/>
    </xf>
    <xf numFmtId="37" fontId="23" fillId="5" borderId="16" xfId="4" applyNumberFormat="1" applyFont="1" applyBorder="1" applyProtection="1"/>
    <xf numFmtId="37" fontId="24" fillId="4" borderId="14" xfId="1" applyNumberFormat="1" applyFont="1" applyBorder="1" applyAlignment="1" applyProtection="1">
      <alignment horizontal="left"/>
    </xf>
    <xf numFmtId="37" fontId="24" fillId="4" borderId="10" xfId="1" applyNumberFormat="1" applyFont="1" applyBorder="1" applyProtection="1"/>
    <xf numFmtId="0" fontId="5" fillId="0" borderId="0" xfId="8" applyFont="1" applyBorder="1"/>
    <xf numFmtId="0" fontId="5" fillId="0" borderId="0" xfId="8" applyFont="1" applyBorder="1" applyAlignment="1" applyProtection="1">
      <alignment horizontal="right"/>
    </xf>
    <xf numFmtId="0" fontId="5" fillId="0" borderId="0" xfId="8" applyFont="1" applyBorder="1" applyAlignment="1" applyProtection="1">
      <alignment horizontal="left"/>
    </xf>
    <xf numFmtId="5" fontId="0" fillId="0" borderId="0" xfId="0" applyNumberFormat="1" applyBorder="1"/>
    <xf numFmtId="0" fontId="10" fillId="0" borderId="0" xfId="7" applyFont="1"/>
    <xf numFmtId="0" fontId="0" fillId="0" borderId="2" xfId="0" applyBorder="1"/>
    <xf numFmtId="37" fontId="25" fillId="4" borderId="10" xfId="1" applyNumberFormat="1" applyFont="1" applyBorder="1" applyAlignment="1" applyProtection="1">
      <alignment horizontal="left"/>
    </xf>
    <xf numFmtId="164" fontId="5" fillId="0" borderId="2" xfId="8" applyNumberFormat="1" applyFont="1" applyBorder="1" applyAlignment="1" applyProtection="1">
      <alignment horizontal="right"/>
    </xf>
    <xf numFmtId="164" fontId="0" fillId="0" borderId="2" xfId="0" applyNumberFormat="1" applyBorder="1"/>
    <xf numFmtId="0" fontId="10" fillId="0" borderId="13" xfId="7" applyFont="1" applyBorder="1"/>
    <xf numFmtId="5" fontId="0" fillId="0" borderId="2" xfId="0" applyNumberFormat="1" applyBorder="1"/>
    <xf numFmtId="0" fontId="10" fillId="0" borderId="14" xfId="7" applyFont="1" applyBorder="1"/>
    <xf numFmtId="0" fontId="26" fillId="0" borderId="11" xfId="4" applyFont="1" applyFill="1" applyBorder="1"/>
    <xf numFmtId="0" fontId="27" fillId="0" borderId="9" xfId="4" applyFont="1" applyFill="1" applyBorder="1"/>
    <xf numFmtId="164" fontId="27" fillId="0" borderId="12" xfId="4" applyNumberFormat="1" applyFont="1" applyFill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1" xfId="0" applyBorder="1"/>
    <xf numFmtId="0" fontId="16" fillId="4" borderId="21" xfId="1" applyBorder="1"/>
    <xf numFmtId="0" fontId="16" fillId="4" borderId="22" xfId="1" applyBorder="1"/>
    <xf numFmtId="0" fontId="16" fillId="4" borderId="6" xfId="1" applyBorder="1"/>
    <xf numFmtId="0" fontId="16" fillId="4" borderId="16" xfId="1" applyBorder="1"/>
    <xf numFmtId="164" fontId="16" fillId="4" borderId="5" xfId="1" applyNumberFormat="1" applyBorder="1"/>
    <xf numFmtId="0" fontId="16" fillId="4" borderId="6" xfId="1" applyBorder="1" applyAlignment="1" applyProtection="1">
      <alignment horizontal="left"/>
    </xf>
    <xf numFmtId="0" fontId="16" fillId="4" borderId="5" xfId="1" applyBorder="1"/>
    <xf numFmtId="0" fontId="18" fillId="5" borderId="6" xfId="4" applyBorder="1" applyAlignment="1" applyProtection="1">
      <alignment horizontal="left"/>
    </xf>
    <xf numFmtId="0" fontId="18" fillId="5" borderId="21" xfId="4" applyBorder="1"/>
    <xf numFmtId="0" fontId="18" fillId="5" borderId="22" xfId="4" applyBorder="1"/>
    <xf numFmtId="0" fontId="18" fillId="5" borderId="16" xfId="4" applyBorder="1"/>
    <xf numFmtId="0" fontId="18" fillId="5" borderId="5" xfId="4" applyBorder="1"/>
    <xf numFmtId="0" fontId="18" fillId="5" borderId="6" xfId="4" applyBorder="1"/>
    <xf numFmtId="0" fontId="18" fillId="5" borderId="10" xfId="4" applyBorder="1" applyAlignment="1">
      <alignment horizontal="center"/>
    </xf>
    <xf numFmtId="5" fontId="18" fillId="5" borderId="15" xfId="4" applyNumberFormat="1" applyBorder="1" applyAlignment="1">
      <alignment horizontal="right"/>
    </xf>
    <xf numFmtId="0" fontId="28" fillId="7" borderId="14" xfId="11" applyFont="1" applyBorder="1"/>
    <xf numFmtId="0" fontId="23" fillId="7" borderId="10" xfId="11" applyFont="1" applyBorder="1"/>
    <xf numFmtId="5" fontId="17" fillId="7" borderId="15" xfId="11" applyNumberFormat="1" applyFont="1" applyBorder="1"/>
    <xf numFmtId="0" fontId="25" fillId="4" borderId="10" xfId="1" applyFont="1" applyBorder="1"/>
    <xf numFmtId="164" fontId="25" fillId="4" borderId="15" xfId="1" applyNumberFormat="1" applyFont="1" applyBorder="1"/>
    <xf numFmtId="0" fontId="29" fillId="5" borderId="10" xfId="4" applyFont="1" applyBorder="1"/>
    <xf numFmtId="164" fontId="29" fillId="5" borderId="15" xfId="4" applyNumberFormat="1" applyFont="1" applyBorder="1"/>
    <xf numFmtId="5" fontId="29" fillId="5" borderId="15" xfId="4" applyNumberFormat="1" applyFont="1" applyBorder="1"/>
    <xf numFmtId="0" fontId="30" fillId="8" borderId="10" xfId="12" applyFont="1" applyBorder="1"/>
    <xf numFmtId="164" fontId="30" fillId="8" borderId="15" xfId="12" applyNumberFormat="1" applyFont="1" applyBorder="1"/>
    <xf numFmtId="0" fontId="17" fillId="7" borderId="14" xfId="11" applyFont="1" applyBorder="1"/>
    <xf numFmtId="0" fontId="17" fillId="7" borderId="10" xfId="11" applyFont="1" applyBorder="1"/>
    <xf numFmtId="5" fontId="0" fillId="0" borderId="12" xfId="0" applyNumberFormat="1" applyBorder="1"/>
    <xf numFmtId="0" fontId="18" fillId="5" borderId="14" xfId="4" applyBorder="1" applyAlignment="1">
      <alignment horizontal="center"/>
    </xf>
    <xf numFmtId="0" fontId="0" fillId="0" borderId="2" xfId="0" applyBorder="1" applyAlignment="1"/>
    <xf numFmtId="0" fontId="0" fillId="0" borderId="0" xfId="0" applyFont="1" applyFill="1" applyBorder="1"/>
    <xf numFmtId="37" fontId="16" fillId="4" borderId="11" xfId="1" applyNumberFormat="1" applyBorder="1" applyAlignment="1" applyProtection="1">
      <alignment horizontal="left"/>
    </xf>
    <xf numFmtId="37" fontId="16" fillId="4" borderId="9" xfId="1" applyNumberFormat="1" applyBorder="1" applyProtection="1"/>
    <xf numFmtId="0" fontId="16" fillId="4" borderId="13" xfId="1" applyBorder="1"/>
    <xf numFmtId="37" fontId="16" fillId="4" borderId="13" xfId="1" applyNumberFormat="1" applyBorder="1" applyProtection="1"/>
    <xf numFmtId="37" fontId="18" fillId="5" borderId="11" xfId="4" applyNumberFormat="1" applyBorder="1" applyAlignment="1" applyProtection="1">
      <alignment horizontal="left"/>
    </xf>
    <xf numFmtId="37" fontId="18" fillId="5" borderId="9" xfId="4" applyNumberFormat="1" applyBorder="1" applyProtection="1"/>
    <xf numFmtId="37" fontId="18" fillId="5" borderId="12" xfId="4" applyNumberFormat="1" applyBorder="1" applyProtection="1"/>
    <xf numFmtId="37" fontId="18" fillId="5" borderId="13" xfId="4" applyNumberFormat="1" applyBorder="1" applyProtection="1"/>
    <xf numFmtId="0" fontId="18" fillId="5" borderId="13" xfId="4" applyBorder="1"/>
    <xf numFmtId="0" fontId="1" fillId="0" borderId="13" xfId="0" applyFont="1" applyBorder="1"/>
    <xf numFmtId="170" fontId="0" fillId="0" borderId="2" xfId="2" applyNumberFormat="1" applyFont="1" applyBorder="1"/>
    <xf numFmtId="170" fontId="0" fillId="0" borderId="2" xfId="0" applyNumberFormat="1" applyBorder="1"/>
    <xf numFmtId="43" fontId="0" fillId="0" borderId="2" xfId="2" applyNumberFormat="1" applyFont="1" applyBorder="1"/>
    <xf numFmtId="0" fontId="1" fillId="0" borderId="14" xfId="0" applyFont="1" applyBorder="1"/>
    <xf numFmtId="0" fontId="1" fillId="0" borderId="13" xfId="0" applyFont="1" applyBorder="1" applyAlignment="1"/>
    <xf numFmtId="2" fontId="0" fillId="0" borderId="2" xfId="0" applyNumberFormat="1" applyBorder="1" applyAlignment="1"/>
    <xf numFmtId="9" fontId="0" fillId="0" borderId="2" xfId="10" applyFont="1" applyBorder="1" applyAlignment="1"/>
    <xf numFmtId="7" fontId="0" fillId="0" borderId="2" xfId="0" applyNumberFormat="1" applyBorder="1" applyAlignment="1"/>
    <xf numFmtId="0" fontId="1" fillId="0" borderId="14" xfId="0" applyFont="1" applyBorder="1" applyAlignment="1"/>
    <xf numFmtId="0" fontId="0" fillId="0" borderId="10" xfId="0" applyBorder="1" applyAlignment="1"/>
    <xf numFmtId="170" fontId="0" fillId="0" borderId="15" xfId="0" applyNumberFormat="1" applyBorder="1" applyAlignment="1"/>
    <xf numFmtId="0" fontId="0" fillId="0" borderId="6" xfId="0" applyBorder="1"/>
    <xf numFmtId="0" fontId="1" fillId="0" borderId="16" xfId="0" applyFont="1" applyBorder="1" applyAlignment="1">
      <alignment horizontal="right"/>
    </xf>
    <xf numFmtId="7" fontId="0" fillId="0" borderId="0" xfId="0" applyNumberFormat="1"/>
    <xf numFmtId="7" fontId="18" fillId="5" borderId="1" xfId="4" applyNumberFormat="1" applyBorder="1" applyAlignment="1"/>
    <xf numFmtId="7" fontId="0" fillId="12" borderId="5" xfId="0" applyNumberFormat="1" applyFill="1" applyBorder="1"/>
    <xf numFmtId="7" fontId="16" fillId="4" borderId="1" xfId="1" applyNumberFormat="1" applyBorder="1"/>
    <xf numFmtId="7" fontId="18" fillId="5" borderId="1" xfId="4" applyNumberFormat="1" applyBorder="1"/>
    <xf numFmtId="7" fontId="0" fillId="0" borderId="18" xfId="0" applyNumberFormat="1" applyBorder="1"/>
    <xf numFmtId="7" fontId="18" fillId="5" borderId="5" xfId="4" applyNumberFormat="1" applyBorder="1"/>
    <xf numFmtId="7" fontId="16" fillId="4" borderId="5" xfId="1" applyNumberFormat="1" applyBorder="1"/>
    <xf numFmtId="7" fontId="1" fillId="0" borderId="0" xfId="0" applyNumberFormat="1" applyFont="1"/>
    <xf numFmtId="7" fontId="8" fillId="0" borderId="0" xfId="0" applyNumberFormat="1" applyFont="1"/>
    <xf numFmtId="7" fontId="16" fillId="4" borderId="14" xfId="1" applyNumberFormat="1" applyBorder="1"/>
    <xf numFmtId="7" fontId="18" fillId="5" borderId="6" xfId="4" applyNumberFormat="1" applyBorder="1"/>
    <xf numFmtId="7" fontId="19" fillId="6" borderId="6" xfId="5" applyNumberFormat="1" applyBorder="1" applyAlignment="1">
      <alignment wrapText="1"/>
    </xf>
    <xf numFmtId="7" fontId="19" fillId="6" borderId="5" xfId="5" applyNumberFormat="1" applyBorder="1"/>
    <xf numFmtId="7" fontId="16" fillId="4" borderId="6" xfId="1" applyNumberFormat="1" applyBorder="1"/>
    <xf numFmtId="7" fontId="0" fillId="12" borderId="15" xfId="0" applyNumberFormat="1" applyFill="1" applyBorder="1"/>
    <xf numFmtId="7" fontId="16" fillId="12" borderId="5" xfId="1" applyNumberFormat="1" applyFill="1" applyBorder="1"/>
    <xf numFmtId="7" fontId="18" fillId="12" borderId="5" xfId="4" applyNumberFormat="1" applyFill="1" applyBorder="1"/>
    <xf numFmtId="7" fontId="2" fillId="0" borderId="1" xfId="0" applyNumberFormat="1" applyFont="1" applyBorder="1"/>
    <xf numFmtId="7" fontId="0" fillId="0" borderId="1" xfId="0" applyNumberFormat="1" applyBorder="1"/>
    <xf numFmtId="7" fontId="16" fillId="12" borderId="1" xfId="1" applyNumberFormat="1" applyFill="1" applyBorder="1"/>
    <xf numFmtId="0" fontId="31" fillId="15" borderId="0" xfId="0" applyFont="1" applyFill="1" applyAlignment="1"/>
    <xf numFmtId="7" fontId="12" fillId="0" borderId="0" xfId="0" applyNumberFormat="1" applyFont="1"/>
    <xf numFmtId="7" fontId="31" fillId="15" borderId="0" xfId="0" applyNumberFormat="1" applyFont="1" applyFill="1" applyAlignment="1"/>
    <xf numFmtId="7" fontId="0" fillId="12" borderId="1" xfId="0" applyNumberForma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1" fillId="0" borderId="0" xfId="0" applyFont="1"/>
    <xf numFmtId="164" fontId="0" fillId="0" borderId="0" xfId="0" applyNumberFormat="1"/>
    <xf numFmtId="9" fontId="0" fillId="0" borderId="15" xfId="10" applyFont="1" applyBorder="1"/>
    <xf numFmtId="43" fontId="0" fillId="0" borderId="0" xfId="2" applyFont="1" applyBorder="1"/>
    <xf numFmtId="4" fontId="5" fillId="0" borderId="2" xfId="9" applyNumberFormat="1" applyFont="1" applyBorder="1" applyProtection="1"/>
    <xf numFmtId="4" fontId="5" fillId="0" borderId="2" xfId="9" applyNumberFormat="1" applyFont="1" applyBorder="1"/>
    <xf numFmtId="4" fontId="23" fillId="5" borderId="5" xfId="4" applyNumberFormat="1" applyFont="1" applyBorder="1" applyProtection="1"/>
    <xf numFmtId="4" fontId="5" fillId="0" borderId="0" xfId="9" applyNumberFormat="1" applyFont="1" applyBorder="1" applyProtection="1"/>
    <xf numFmtId="4" fontId="16" fillId="4" borderId="12" xfId="1" applyNumberFormat="1" applyBorder="1" applyProtection="1"/>
    <xf numFmtId="4" fontId="5" fillId="0" borderId="2" xfId="9" applyNumberFormat="1" applyFont="1" applyBorder="1" applyAlignment="1" applyProtection="1">
      <alignment horizontal="right"/>
    </xf>
    <xf numFmtId="4" fontId="25" fillId="4" borderId="15" xfId="1" applyNumberFormat="1" applyFont="1" applyBorder="1" applyAlignment="1" applyProtection="1">
      <alignment horizontal="right"/>
    </xf>
    <xf numFmtId="4" fontId="24" fillId="4" borderId="15" xfId="1" applyNumberFormat="1" applyFont="1" applyBorder="1" applyProtection="1"/>
    <xf numFmtId="4" fontId="9" fillId="0" borderId="5" xfId="9" applyNumberFormat="1" applyFont="1" applyBorder="1" applyProtection="1"/>
    <xf numFmtId="4" fontId="5" fillId="0" borderId="12" xfId="9" applyNumberFormat="1" applyFont="1" applyBorder="1" applyProtection="1"/>
    <xf numFmtId="4" fontId="19" fillId="6" borderId="15" xfId="5" applyNumberFormat="1" applyBorder="1"/>
    <xf numFmtId="4" fontId="5" fillId="0" borderId="0" xfId="9" applyNumberFormat="1" applyFont="1" applyBorder="1"/>
    <xf numFmtId="4" fontId="23" fillId="5" borderId="5" xfId="4" applyNumberFormat="1" applyFont="1" applyBorder="1"/>
    <xf numFmtId="4" fontId="12" fillId="0" borderId="0" xfId="0" applyNumberFormat="1" applyFont="1"/>
    <xf numFmtId="4" fontId="5" fillId="0" borderId="0" xfId="0" applyNumberFormat="1" applyFont="1"/>
    <xf numFmtId="165" fontId="0" fillId="0" borderId="2" xfId="0" applyNumberFormat="1" applyBorder="1"/>
    <xf numFmtId="165" fontId="0" fillId="0" borderId="0" xfId="2" applyNumberFormat="1" applyFont="1"/>
    <xf numFmtId="0" fontId="1" fillId="0" borderId="0" xfId="9" applyFont="1" applyBorder="1" applyAlignment="1" applyProtection="1">
      <alignment horizontal="left"/>
    </xf>
    <xf numFmtId="164" fontId="4" fillId="13" borderId="10" xfId="0" applyNumberFormat="1" applyFont="1" applyFill="1" applyBorder="1"/>
    <xf numFmtId="165" fontId="4" fillId="13" borderId="10" xfId="0" applyNumberFormat="1" applyFont="1" applyFill="1" applyBorder="1"/>
    <xf numFmtId="10" fontId="2" fillId="13" borderId="15" xfId="0" applyNumberFormat="1" applyFont="1" applyFill="1" applyBorder="1"/>
    <xf numFmtId="0" fontId="4" fillId="13" borderId="6" xfId="0" applyFont="1" applyFill="1" applyBorder="1"/>
    <xf numFmtId="0" fontId="4" fillId="13" borderId="16" xfId="0" applyFont="1" applyFill="1" applyBorder="1"/>
    <xf numFmtId="0" fontId="0" fillId="13" borderId="16" xfId="0" applyFill="1" applyBorder="1"/>
    <xf numFmtId="164" fontId="4" fillId="13" borderId="16" xfId="0" applyNumberFormat="1" applyFont="1" applyFill="1" applyBorder="1"/>
    <xf numFmtId="165" fontId="4" fillId="13" borderId="16" xfId="0" applyNumberFormat="1" applyFont="1" applyFill="1" applyBorder="1"/>
    <xf numFmtId="10" fontId="2" fillId="13" borderId="5" xfId="0" applyNumberFormat="1" applyFont="1" applyFill="1" applyBorder="1"/>
    <xf numFmtId="0" fontId="1" fillId="0" borderId="0" xfId="6"/>
    <xf numFmtId="0" fontId="2" fillId="0" borderId="0" xfId="6" applyFont="1"/>
    <xf numFmtId="0" fontId="2" fillId="0" borderId="0" xfId="6" applyNumberFormat="1" applyFont="1"/>
    <xf numFmtId="165" fontId="2" fillId="0" borderId="0" xfId="6" applyNumberFormat="1" applyFont="1"/>
    <xf numFmtId="44" fontId="2" fillId="0" borderId="0" xfId="6" applyNumberFormat="1" applyFont="1"/>
    <xf numFmtId="0" fontId="2" fillId="0" borderId="0" xfId="6" applyFont="1" applyAlignment="1">
      <alignment wrapText="1"/>
    </xf>
    <xf numFmtId="165" fontId="1" fillId="0" borderId="0" xfId="6" applyNumberFormat="1"/>
    <xf numFmtId="0" fontId="1" fillId="0" borderId="0" xfId="6" applyFont="1"/>
    <xf numFmtId="170" fontId="2" fillId="0" borderId="0" xfId="3" applyNumberFormat="1" applyFont="1"/>
    <xf numFmtId="165" fontId="2" fillId="0" borderId="0" xfId="3" applyNumberFormat="1" applyFont="1"/>
    <xf numFmtId="0" fontId="13" fillId="0" borderId="0" xfId="6" applyFont="1"/>
    <xf numFmtId="165" fontId="13" fillId="0" borderId="0" xfId="6" applyNumberFormat="1" applyFont="1"/>
    <xf numFmtId="44" fontId="13" fillId="0" borderId="0" xfId="3" applyFont="1"/>
    <xf numFmtId="0" fontId="14" fillId="0" borderId="0" xfId="6" applyFont="1"/>
    <xf numFmtId="0" fontId="4" fillId="10" borderId="6" xfId="0" applyFont="1" applyFill="1" applyBorder="1"/>
    <xf numFmtId="0" fontId="4" fillId="10" borderId="16" xfId="0" applyFont="1" applyFill="1" applyBorder="1"/>
    <xf numFmtId="164" fontId="4" fillId="10" borderId="16" xfId="0" applyNumberFormat="1" applyFont="1" applyFill="1" applyBorder="1"/>
    <xf numFmtId="165" fontId="4" fillId="10" borderId="16" xfId="0" applyNumberFormat="1" applyFont="1" applyFill="1" applyBorder="1"/>
    <xf numFmtId="10" fontId="4" fillId="0" borderId="5" xfId="0" applyNumberFormat="1" applyFont="1" applyBorder="1"/>
    <xf numFmtId="165" fontId="4" fillId="10" borderId="5" xfId="0" applyNumberFormat="1" applyFont="1" applyFill="1" applyBorder="1"/>
    <xf numFmtId="0" fontId="4" fillId="16" borderId="6" xfId="0" applyFont="1" applyFill="1" applyBorder="1"/>
    <xf numFmtId="0" fontId="4" fillId="16" borderId="16" xfId="0" applyFont="1" applyFill="1" applyBorder="1"/>
    <xf numFmtId="0" fontId="0" fillId="16" borderId="16" xfId="0" applyFill="1" applyBorder="1"/>
    <xf numFmtId="164" fontId="2" fillId="16" borderId="16" xfId="0" applyNumberFormat="1" applyFont="1" applyFill="1" applyBorder="1"/>
    <xf numFmtId="165" fontId="2" fillId="16" borderId="16" xfId="0" applyNumberFormat="1" applyFont="1" applyFill="1" applyBorder="1"/>
    <xf numFmtId="165" fontId="2" fillId="16" borderId="5" xfId="0" applyNumberFormat="1" applyFont="1" applyFill="1" applyBorder="1"/>
    <xf numFmtId="167" fontId="2" fillId="0" borderId="0" xfId="2" applyNumberFormat="1" applyFont="1"/>
    <xf numFmtId="9" fontId="0" fillId="0" borderId="0" xfId="10" applyFont="1"/>
    <xf numFmtId="169" fontId="1" fillId="0" borderId="0" xfId="0" applyNumberFormat="1" applyFont="1"/>
    <xf numFmtId="0" fontId="2" fillId="2" borderId="7" xfId="0" applyFont="1" applyFill="1" applyBorder="1" applyProtection="1">
      <protection locked="0"/>
    </xf>
    <xf numFmtId="0" fontId="4" fillId="0" borderId="23" xfId="0" applyFont="1" applyBorder="1"/>
    <xf numFmtId="164" fontId="4" fillId="0" borderId="23" xfId="0" applyNumberFormat="1" applyFont="1" applyBorder="1"/>
    <xf numFmtId="164" fontId="3" fillId="9" borderId="14" xfId="0" applyNumberFormat="1" applyFont="1" applyFill="1" applyBorder="1"/>
    <xf numFmtId="164" fontId="4" fillId="13" borderId="14" xfId="0" applyNumberFormat="1" applyFont="1" applyFill="1" applyBorder="1"/>
    <xf numFmtId="164" fontId="3" fillId="13" borderId="6" xfId="0" applyNumberFormat="1" applyFont="1" applyFill="1" applyBorder="1"/>
    <xf numFmtId="164" fontId="3" fillId="13" borderId="16" xfId="0" applyNumberFormat="1" applyFont="1" applyFill="1" applyBorder="1"/>
    <xf numFmtId="165" fontId="3" fillId="13" borderId="16" xfId="0" applyNumberFormat="1" applyFont="1" applyFill="1" applyBorder="1"/>
    <xf numFmtId="10" fontId="5" fillId="13" borderId="5" xfId="0" applyNumberFormat="1" applyFont="1" applyFill="1" applyBorder="1"/>
    <xf numFmtId="44" fontId="2" fillId="0" borderId="0" xfId="3" applyNumberFormat="1" applyFont="1"/>
    <xf numFmtId="0" fontId="15" fillId="0" borderId="13" xfId="0" applyFont="1" applyBorder="1"/>
    <xf numFmtId="1" fontId="2" fillId="3" borderId="1" xfId="0" applyNumberFormat="1" applyFont="1" applyFill="1" applyBorder="1" applyProtection="1"/>
    <xf numFmtId="0" fontId="1" fillId="0" borderId="0" xfId="0" applyFont="1" applyFill="1" applyBorder="1"/>
    <xf numFmtId="0" fontId="4" fillId="0" borderId="24" xfId="0" applyFont="1" applyBorder="1"/>
    <xf numFmtId="164" fontId="4" fillId="0" borderId="25" xfId="0" applyNumberFormat="1" applyFont="1" applyBorder="1"/>
    <xf numFmtId="0" fontId="4" fillId="14" borderId="18" xfId="0" applyFont="1" applyFill="1" applyBorder="1"/>
    <xf numFmtId="0" fontId="0" fillId="14" borderId="18" xfId="0" applyFill="1" applyBorder="1"/>
    <xf numFmtId="164" fontId="4" fillId="14" borderId="18" xfId="0" applyNumberFormat="1" applyFont="1" applyFill="1" applyBorder="1"/>
    <xf numFmtId="165" fontId="4" fillId="14" borderId="18" xfId="0" applyNumberFormat="1" applyFont="1" applyFill="1" applyBorder="1"/>
    <xf numFmtId="10" fontId="2" fillId="14" borderId="18" xfId="0" applyNumberFormat="1" applyFont="1" applyFill="1" applyBorder="1"/>
    <xf numFmtId="0" fontId="4" fillId="17" borderId="18" xfId="0" applyFont="1" applyFill="1" applyBorder="1"/>
    <xf numFmtId="0" fontId="0" fillId="17" borderId="18" xfId="0" applyFill="1" applyBorder="1"/>
    <xf numFmtId="164" fontId="4" fillId="17" borderId="18" xfId="0" applyNumberFormat="1" applyFont="1" applyFill="1" applyBorder="1"/>
    <xf numFmtId="165" fontId="4" fillId="17" borderId="18" xfId="0" applyNumberFormat="1" applyFont="1" applyFill="1" applyBorder="1"/>
    <xf numFmtId="10" fontId="2" fillId="17" borderId="18" xfId="0" applyNumberFormat="1" applyFont="1" applyFill="1" applyBorder="1"/>
    <xf numFmtId="0" fontId="4" fillId="17" borderId="1" xfId="0" applyFont="1" applyFill="1" applyBorder="1"/>
    <xf numFmtId="164" fontId="4" fillId="17" borderId="1" xfId="0" applyNumberFormat="1" applyFont="1" applyFill="1" applyBorder="1"/>
    <xf numFmtId="0" fontId="4" fillId="17" borderId="13" xfId="0" applyFont="1" applyFill="1" applyBorder="1"/>
    <xf numFmtId="0" fontId="4" fillId="17" borderId="0" xfId="0" applyFont="1" applyFill="1" applyBorder="1"/>
    <xf numFmtId="0" fontId="0" fillId="17" borderId="0" xfId="0" applyFill="1" applyBorder="1"/>
    <xf numFmtId="164" fontId="4" fillId="17" borderId="2" xfId="0" applyNumberFormat="1" applyFont="1" applyFill="1" applyBorder="1"/>
    <xf numFmtId="0" fontId="4" fillId="17" borderId="14" xfId="0" applyFont="1" applyFill="1" applyBorder="1"/>
    <xf numFmtId="0" fontId="4" fillId="17" borderId="10" xfId="0" applyFont="1" applyFill="1" applyBorder="1"/>
    <xf numFmtId="0" fontId="0" fillId="17" borderId="10" xfId="0" applyFill="1" applyBorder="1"/>
    <xf numFmtId="164" fontId="4" fillId="17" borderId="15" xfId="0" applyNumberFormat="1" applyFont="1" applyFill="1" applyBorder="1"/>
    <xf numFmtId="0" fontId="4" fillId="17" borderId="11" xfId="0" applyFont="1" applyFill="1" applyBorder="1"/>
    <xf numFmtId="0" fontId="4" fillId="17" borderId="9" xfId="0" applyFont="1" applyFill="1" applyBorder="1"/>
    <xf numFmtId="165" fontId="4" fillId="17" borderId="12" xfId="0" applyNumberFormat="1" applyFont="1" applyFill="1" applyBorder="1"/>
    <xf numFmtId="0" fontId="3" fillId="0" borderId="0" xfId="0" applyFont="1" applyFill="1"/>
    <xf numFmtId="1" fontId="4" fillId="0" borderId="0" xfId="0" applyNumberFormat="1" applyFont="1" applyBorder="1"/>
    <xf numFmtId="0" fontId="4" fillId="12" borderId="14" xfId="0" applyFont="1" applyFill="1" applyBorder="1"/>
    <xf numFmtId="0" fontId="32" fillId="15" borderId="0" xfId="0" applyFont="1" applyFill="1" applyAlignment="1">
      <alignment horizontal="center"/>
    </xf>
    <xf numFmtId="0" fontId="33" fillId="15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9" fillId="6" borderId="6" xfId="5" applyBorder="1" applyAlignment="1">
      <alignment horizontal="center"/>
    </xf>
    <xf numFmtId="0" fontId="19" fillId="6" borderId="16" xfId="5" applyBorder="1" applyAlignment="1">
      <alignment horizontal="center"/>
    </xf>
    <xf numFmtId="0" fontId="19" fillId="6" borderId="5" xfId="5" applyBorder="1" applyAlignment="1">
      <alignment horizontal="center"/>
    </xf>
    <xf numFmtId="0" fontId="33" fillId="15" borderId="0" xfId="0" applyFont="1" applyFill="1" applyAlignment="1">
      <alignment horizontal="center"/>
    </xf>
  </cellXfs>
  <cellStyles count="15">
    <cellStyle name="Bad" xfId="1" builtinId="27"/>
    <cellStyle name="Comma" xfId="2" builtinId="3"/>
    <cellStyle name="Currency" xfId="3" builtinId="4"/>
    <cellStyle name="Good" xfId="4" builtinId="26"/>
    <cellStyle name="Neutral" xfId="5" builtinId="28"/>
    <cellStyle name="Normal" xfId="0" builtinId="0"/>
    <cellStyle name="Normal 2" xfId="6"/>
    <cellStyle name="Normal_PROB4BS1" xfId="7"/>
    <cellStyle name="Normal_PROB4BS2" xfId="8"/>
    <cellStyle name="Normal_PROB4IS" xfId="9"/>
    <cellStyle name="Percent" xfId="10" builtinId="5"/>
    <cellStyle name="Style 1" xfId="11"/>
    <cellStyle name="Style 2" xfId="12"/>
    <cellStyle name="Style 3" xfId="13"/>
    <cellStyle name="Style 4" xfId="14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.0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ill>
        <patternFill patternType="solid">
          <fgColor auto="1"/>
          <bgColor rgb="FFFFFF66"/>
        </patternFill>
      </fill>
    </dxf>
    <dxf>
      <font>
        <color rgb="FFFFFF00"/>
      </font>
      <fill>
        <patternFill>
          <bgColor rgb="FF008000"/>
        </patternFill>
      </fill>
    </dxf>
  </dxfs>
  <tableStyles count="2" defaultTableStyle="TableStyleMedium9" defaultPivotStyle="PivotStyleLight16">
    <tableStyle name="Table Style 1" pivot="0" count="0"/>
    <tableStyle name="Table Style 2" pivot="0" count="2">
      <tableStyleElement type="headerRow" dxfId="21"/>
      <tableStyleElement type="firstRowStripe" dxfId="2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 Revenues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7857142857142869"/>
          <c:y val="0.32753623188405817"/>
          <c:w val="0.63293650793650791"/>
          <c:h val="0.57681159420289863"/>
        </c:manualLayout>
      </c:layout>
      <c:pie3DChart>
        <c:varyColors val="1"/>
        <c:ser>
          <c:idx val="0"/>
          <c:order val="0"/>
          <c:explosion val="38"/>
          <c:dPt>
            <c:idx val="0"/>
            <c:explosion val="45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Results!$M$23:$M$25</c:f>
              <c:strCache>
                <c:ptCount val="3"/>
                <c:pt idx="0">
                  <c:v>Milk Sales</c:v>
                </c:pt>
                <c:pt idx="1">
                  <c:v>Hedge Acct</c:v>
                </c:pt>
                <c:pt idx="2">
                  <c:v>Livestock Sales</c:v>
                </c:pt>
              </c:strCache>
            </c:strRef>
          </c:cat>
          <c:val>
            <c:numRef>
              <c:f>Results!$N$23:$N$25</c:f>
              <c:numCache>
                <c:formatCode>"$"#,##0</c:formatCode>
                <c:ptCount val="3"/>
                <c:pt idx="0">
                  <c:v>2275380</c:v>
                </c:pt>
                <c:pt idx="1">
                  <c:v>2000</c:v>
                </c:pt>
                <c:pt idx="2">
                  <c:v>181958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t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 expenses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7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Results!$M$43:$M$53</c:f>
              <c:strCache>
                <c:ptCount val="11"/>
                <c:pt idx="0">
                  <c:v>Total Feed Cost</c:v>
                </c:pt>
                <c:pt idx="1">
                  <c:v>Total Marketing Costs</c:v>
                </c:pt>
                <c:pt idx="2">
                  <c:v>Health Care Costs</c:v>
                </c:pt>
                <c:pt idx="3">
                  <c:v>Total Mgt Costs</c:v>
                </c:pt>
                <c:pt idx="4">
                  <c:v>Total Supplies</c:v>
                </c:pt>
                <c:pt idx="5">
                  <c:v>Total Utilities</c:v>
                </c:pt>
                <c:pt idx="6">
                  <c:v>Total Repair</c:v>
                </c:pt>
                <c:pt idx="7">
                  <c:v>Total Labor</c:v>
                </c:pt>
                <c:pt idx="8">
                  <c:v>Total Interest</c:v>
                </c:pt>
                <c:pt idx="9">
                  <c:v>Total Other Expenses</c:v>
                </c:pt>
                <c:pt idx="10">
                  <c:v>Total Depreciation</c:v>
                </c:pt>
              </c:strCache>
            </c:strRef>
          </c:cat>
          <c:val>
            <c:numRef>
              <c:f>Results!$N$43:$N$53</c:f>
              <c:numCache>
                <c:formatCode>"$"#,##0</c:formatCode>
                <c:ptCount val="11"/>
                <c:pt idx="0">
                  <c:v>1001055</c:v>
                </c:pt>
                <c:pt idx="1">
                  <c:v>6414</c:v>
                </c:pt>
                <c:pt idx="2">
                  <c:v>136102</c:v>
                </c:pt>
                <c:pt idx="3">
                  <c:v>24447</c:v>
                </c:pt>
                <c:pt idx="4">
                  <c:v>100919</c:v>
                </c:pt>
                <c:pt idx="5">
                  <c:v>41851</c:v>
                </c:pt>
                <c:pt idx="6">
                  <c:v>59111</c:v>
                </c:pt>
                <c:pt idx="7">
                  <c:v>270922</c:v>
                </c:pt>
                <c:pt idx="8">
                  <c:v>176516</c:v>
                </c:pt>
                <c:pt idx="9">
                  <c:v>45109</c:v>
                </c:pt>
                <c:pt idx="10">
                  <c:v>122642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14</xdr:row>
      <xdr:rowOff>152400</xdr:rowOff>
    </xdr:from>
    <xdr:to>
      <xdr:col>17</xdr:col>
      <xdr:colOff>276225</xdr:colOff>
      <xdr:row>34</xdr:row>
      <xdr:rowOff>104775</xdr:rowOff>
    </xdr:to>
    <xdr:graphicFrame macro="">
      <xdr:nvGraphicFramePr>
        <xdr:cNvPr id="103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35</xdr:row>
      <xdr:rowOff>209550</xdr:rowOff>
    </xdr:from>
    <xdr:to>
      <xdr:col>17</xdr:col>
      <xdr:colOff>447675</xdr:colOff>
      <xdr:row>54</xdr:row>
      <xdr:rowOff>161925</xdr:rowOff>
    </xdr:to>
    <xdr:graphicFrame macro="">
      <xdr:nvGraphicFramePr>
        <xdr:cNvPr id="103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3" displayName="Table3" ref="A1:B21" totalsRowShown="0" headerRowDxfId="19" dataDxfId="18">
  <autoFilter ref="A1:B21"/>
  <tableColumns count="2">
    <tableColumn id="1" name="Dairy Afford-A-Cow Table" dataDxfId="17"/>
    <tableColumn id="2" name="per cow" dataDxfId="16"/>
  </tableColumns>
  <tableStyleInfo name="Table Style 2" showFirstColumn="0" showLastColumn="0" showRowStripes="1" showColumnStripes="0"/>
</table>
</file>

<file path=xl/tables/table2.xml><?xml version="1.0" encoding="utf-8"?>
<table xmlns="http://schemas.openxmlformats.org/spreadsheetml/2006/main" id="3" name="Table4" displayName="Table4" ref="C1:C21" totalsRowShown="0" headerRowDxfId="15" dataDxfId="14" headerRowCellStyle="Currency" dataCellStyle="Currency">
  <autoFilter ref="C1:C21"/>
  <tableColumns count="1">
    <tableColumn id="1" name="cow/day" dataDxfId="13" dataCellStyle="Currency">
      <calculatedColumnFormula>B2/365</calculatedColumnFormula>
    </tableColumn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Normal="100" workbookViewId="0">
      <pane ySplit="1" topLeftCell="A2" activePane="bottomLeft" state="frozen"/>
      <selection activeCell="E12" sqref="E12"/>
      <selection pane="bottomLeft" activeCell="C28" sqref="C28"/>
    </sheetView>
  </sheetViews>
  <sheetFormatPr defaultRowHeight="12.75"/>
  <cols>
    <col min="1" max="1" width="6.5703125" customWidth="1"/>
    <col min="2" max="2" width="31.42578125" customWidth="1"/>
    <col min="3" max="3" width="31.7109375" customWidth="1"/>
    <col min="4" max="4" width="13.28515625" customWidth="1"/>
    <col min="5" max="5" width="3.42578125" customWidth="1"/>
    <col min="6" max="6" width="13.5703125" customWidth="1"/>
    <col min="7" max="7" width="31.42578125" bestFit="1" customWidth="1"/>
    <col min="8" max="8" width="12.85546875" customWidth="1"/>
    <col min="9" max="9" width="10" customWidth="1"/>
    <col min="10" max="10" width="10.5703125" customWidth="1"/>
    <col min="11" max="11" width="19.5703125" customWidth="1"/>
    <col min="12" max="13" width="19.42578125" customWidth="1"/>
  </cols>
  <sheetData>
    <row r="1" spans="1:13" ht="25.5">
      <c r="A1" s="400" t="s">
        <v>310</v>
      </c>
      <c r="B1" s="400"/>
      <c r="C1" s="400"/>
      <c r="D1" s="400"/>
      <c r="E1" s="400"/>
      <c r="F1" s="400"/>
      <c r="G1" s="400"/>
      <c r="H1" s="400"/>
      <c r="I1" s="400"/>
    </row>
    <row r="3" spans="1:13">
      <c r="A3" s="1" t="s">
        <v>80</v>
      </c>
      <c r="B3" s="30">
        <v>8400054</v>
      </c>
      <c r="F3" s="20" t="s">
        <v>131</v>
      </c>
      <c r="L3" s="6"/>
      <c r="M3" s="51"/>
    </row>
    <row r="4" spans="1:13">
      <c r="A4" s="1" t="s">
        <v>87</v>
      </c>
      <c r="B4" s="30"/>
      <c r="E4" s="55"/>
      <c r="F4" s="20" t="s">
        <v>132</v>
      </c>
      <c r="L4" s="6"/>
      <c r="M4" s="51"/>
    </row>
    <row r="5" spans="1:13">
      <c r="A5" s="1"/>
      <c r="B5" s="137"/>
      <c r="E5" s="55"/>
      <c r="F5" s="20"/>
      <c r="L5" s="317"/>
      <c r="M5" s="51"/>
    </row>
    <row r="6" spans="1:13">
      <c r="A6" s="1"/>
      <c r="B6" s="68" t="s">
        <v>81</v>
      </c>
      <c r="C6" s="7">
        <v>366</v>
      </c>
      <c r="E6" s="55"/>
      <c r="F6" s="20"/>
      <c r="L6" s="317"/>
      <c r="M6" s="53"/>
    </row>
    <row r="7" spans="1:13">
      <c r="A7" s="1"/>
      <c r="B7" s="73" t="s">
        <v>85</v>
      </c>
      <c r="C7" s="370">
        <f>+C14/((C15+C44)/2)</f>
        <v>21740.192114695339</v>
      </c>
      <c r="E7" s="55"/>
      <c r="F7" s="20"/>
      <c r="L7" s="317"/>
      <c r="M7" s="53"/>
    </row>
    <row r="8" spans="1:13">
      <c r="A8" s="1"/>
      <c r="B8" s="73" t="s">
        <v>82</v>
      </c>
      <c r="C8" s="7">
        <v>24000</v>
      </c>
      <c r="E8" s="55"/>
      <c r="F8" s="20"/>
      <c r="L8" s="317"/>
      <c r="M8" s="53"/>
    </row>
    <row r="9" spans="1:13">
      <c r="B9" s="76" t="s">
        <v>111</v>
      </c>
      <c r="C9" s="7">
        <v>680</v>
      </c>
      <c r="E9" s="56"/>
      <c r="L9" s="317"/>
      <c r="M9" s="53"/>
    </row>
    <row r="10" spans="1:13">
      <c r="A10" s="59"/>
      <c r="B10" s="141"/>
      <c r="C10" s="58"/>
      <c r="E10" s="56"/>
      <c r="L10" s="5"/>
      <c r="M10" s="51"/>
    </row>
    <row r="11" spans="1:13">
      <c r="A11" s="59"/>
      <c r="B11" s="141"/>
      <c r="C11" s="58"/>
      <c r="E11" s="56"/>
      <c r="L11" s="5"/>
      <c r="M11" s="51"/>
    </row>
    <row r="12" spans="1:13" ht="15.75">
      <c r="A12" s="149" t="s">
        <v>0</v>
      </c>
      <c r="B12" s="150"/>
      <c r="C12" s="151"/>
      <c r="D12" s="2"/>
      <c r="E12" s="57"/>
      <c r="L12" s="5"/>
      <c r="M12" s="51"/>
    </row>
    <row r="13" spans="1:13" ht="15.75">
      <c r="A13" s="3"/>
      <c r="B13" s="14" t="s">
        <v>2</v>
      </c>
      <c r="C13" s="24">
        <v>2275380</v>
      </c>
      <c r="D13" s="2"/>
      <c r="E13" s="58"/>
      <c r="F13" s="20" t="s">
        <v>154</v>
      </c>
      <c r="L13" s="317"/>
      <c r="M13" s="51"/>
    </row>
    <row r="14" spans="1:13" ht="15.75">
      <c r="A14" s="3"/>
      <c r="B14" s="14" t="s">
        <v>3</v>
      </c>
      <c r="C14" s="50">
        <v>15163784</v>
      </c>
      <c r="D14" s="2"/>
      <c r="E14" s="58"/>
      <c r="F14" s="20" t="s">
        <v>155</v>
      </c>
      <c r="L14" s="317"/>
      <c r="M14" s="51"/>
    </row>
    <row r="15" spans="1:13" ht="15.75">
      <c r="A15" s="3"/>
      <c r="B15" s="14" t="s">
        <v>65</v>
      </c>
      <c r="C15" s="7">
        <v>680</v>
      </c>
      <c r="D15" s="2"/>
      <c r="E15" s="55"/>
      <c r="F15" s="35" t="s">
        <v>156</v>
      </c>
      <c r="L15" s="5"/>
    </row>
    <row r="16" spans="1:13" ht="15.75">
      <c r="A16" s="3"/>
      <c r="B16" s="14" t="s">
        <v>4</v>
      </c>
      <c r="C16" s="7">
        <v>220</v>
      </c>
      <c r="D16" s="2"/>
      <c r="E16" s="55"/>
      <c r="F16" s="54" t="s">
        <v>133</v>
      </c>
      <c r="L16" s="5"/>
    </row>
    <row r="17" spans="1:12" ht="15">
      <c r="B17" s="397"/>
      <c r="C17" s="55"/>
      <c r="D17" s="2"/>
      <c r="F17" s="37"/>
      <c r="L17" s="5"/>
    </row>
    <row r="18" spans="1:12" ht="15.75">
      <c r="A18" s="3" t="s">
        <v>124</v>
      </c>
      <c r="B18" s="397"/>
      <c r="C18" s="55"/>
      <c r="D18" s="2"/>
      <c r="L18" s="5"/>
    </row>
    <row r="19" spans="1:12" ht="15.75">
      <c r="A19" s="3"/>
      <c r="B19" s="14" t="s">
        <v>125</v>
      </c>
      <c r="C19" s="24">
        <v>3000</v>
      </c>
      <c r="D19" s="31" t="s">
        <v>112</v>
      </c>
      <c r="F19" s="36" t="s">
        <v>191</v>
      </c>
      <c r="L19" s="5"/>
    </row>
    <row r="20" spans="1:12" ht="15.75">
      <c r="B20" s="11" t="s">
        <v>126</v>
      </c>
      <c r="C20" s="24">
        <v>1000</v>
      </c>
      <c r="D20" s="2"/>
      <c r="F20" s="36" t="s">
        <v>191</v>
      </c>
      <c r="L20" s="5"/>
    </row>
    <row r="21" spans="1:12" ht="15.75">
      <c r="B21" s="153" t="s">
        <v>201</v>
      </c>
      <c r="C21" s="159">
        <f>C19-C20</f>
        <v>2000</v>
      </c>
      <c r="D21" s="2"/>
      <c r="F21" s="38"/>
      <c r="L21" s="5"/>
    </row>
    <row r="22" spans="1:12" ht="15.75">
      <c r="B22" s="16"/>
      <c r="C22" s="152"/>
      <c r="D22" s="2"/>
      <c r="F22" s="38"/>
      <c r="L22" s="5"/>
    </row>
    <row r="23" spans="1:12" ht="16.5" thickBot="1">
      <c r="A23" s="128" t="s">
        <v>128</v>
      </c>
      <c r="B23" s="162"/>
      <c r="C23" s="129">
        <f>C13+C21</f>
        <v>2277380</v>
      </c>
      <c r="D23" s="2"/>
      <c r="F23" s="38"/>
      <c r="L23" s="5"/>
    </row>
    <row r="24" spans="1:12" ht="16.5" thickTop="1">
      <c r="A24" s="3"/>
      <c r="B24" s="2"/>
      <c r="C24" s="55"/>
      <c r="D24" s="2"/>
      <c r="F24" s="38"/>
      <c r="L24" s="5"/>
    </row>
    <row r="25" spans="1:12" ht="15.75">
      <c r="A25" s="3" t="s">
        <v>60</v>
      </c>
      <c r="B25" s="32"/>
      <c r="C25" s="138"/>
      <c r="D25" s="31" t="s">
        <v>112</v>
      </c>
      <c r="F25" s="38"/>
      <c r="L25" s="5"/>
    </row>
    <row r="26" spans="1:12" ht="15.75">
      <c r="A26" s="3"/>
      <c r="B26" s="2"/>
      <c r="C26" s="55"/>
      <c r="D26" s="2"/>
      <c r="F26" s="39" t="s">
        <v>157</v>
      </c>
      <c r="L26" s="5"/>
    </row>
    <row r="27" spans="1:12" ht="15.75">
      <c r="A27" s="3"/>
      <c r="B27" s="14" t="s">
        <v>5</v>
      </c>
      <c r="C27" s="24">
        <v>150000</v>
      </c>
      <c r="D27" s="31" t="s">
        <v>112</v>
      </c>
      <c r="F27" s="40" t="s">
        <v>135</v>
      </c>
      <c r="L27" s="5"/>
    </row>
    <row r="28" spans="1:12" ht="15.75">
      <c r="A28" s="3"/>
      <c r="B28" s="14" t="s">
        <v>52</v>
      </c>
      <c r="C28" s="49">
        <v>220</v>
      </c>
      <c r="D28" s="2"/>
      <c r="F28" s="40" t="s">
        <v>135</v>
      </c>
      <c r="L28" s="5"/>
    </row>
    <row r="29" spans="1:12" ht="15.75">
      <c r="A29" s="3"/>
      <c r="B29" s="14" t="s">
        <v>66</v>
      </c>
      <c r="C29" s="49">
        <v>15</v>
      </c>
      <c r="D29" s="2"/>
      <c r="F29" s="40"/>
      <c r="L29" s="5"/>
    </row>
    <row r="30" spans="1:12" ht="15.75">
      <c r="A30" s="3"/>
      <c r="B30" s="14" t="s">
        <v>6</v>
      </c>
      <c r="C30" s="24">
        <v>25958</v>
      </c>
      <c r="D30" s="2"/>
      <c r="F30" s="40" t="s">
        <v>158</v>
      </c>
      <c r="L30" s="5"/>
    </row>
    <row r="31" spans="1:12" ht="15.75">
      <c r="A31" s="3"/>
      <c r="B31" s="14" t="s">
        <v>53</v>
      </c>
      <c r="C31" s="7">
        <v>226</v>
      </c>
      <c r="D31" s="31" t="s">
        <v>112</v>
      </c>
      <c r="F31" s="40" t="s">
        <v>134</v>
      </c>
      <c r="I31" s="53">
        <f>I30*(Benchmarks!D27/Benchmarks!H25)</f>
        <v>0</v>
      </c>
      <c r="L31" s="5"/>
    </row>
    <row r="32" spans="1:12" ht="15.75">
      <c r="A32" s="3"/>
      <c r="B32" s="14" t="s">
        <v>7</v>
      </c>
      <c r="C32" s="24">
        <v>1000</v>
      </c>
      <c r="F32" s="40" t="s">
        <v>134</v>
      </c>
      <c r="L32" s="5"/>
    </row>
    <row r="33" spans="1:12" ht="15.75">
      <c r="A33" s="3"/>
      <c r="B33" s="14" t="s">
        <v>89</v>
      </c>
      <c r="C33" s="49">
        <v>2</v>
      </c>
      <c r="D33" s="31" t="s">
        <v>112</v>
      </c>
      <c r="F33" s="40" t="s">
        <v>160</v>
      </c>
      <c r="L33" s="5"/>
    </row>
    <row r="34" spans="1:12" ht="15.75">
      <c r="A34" s="3"/>
      <c r="B34" s="14" t="s">
        <v>90</v>
      </c>
      <c r="C34" s="24">
        <v>2000</v>
      </c>
      <c r="D34" s="2"/>
      <c r="F34" s="40" t="s">
        <v>134</v>
      </c>
      <c r="L34" s="5"/>
    </row>
    <row r="35" spans="1:12" ht="15.75">
      <c r="A35" s="3"/>
      <c r="B35" s="14" t="s">
        <v>91</v>
      </c>
      <c r="C35" s="49">
        <v>2</v>
      </c>
      <c r="D35" s="31" t="s">
        <v>68</v>
      </c>
      <c r="F35" s="40" t="s">
        <v>134</v>
      </c>
      <c r="L35" s="5"/>
    </row>
    <row r="36" spans="1:12" ht="15.75">
      <c r="A36" s="3"/>
      <c r="B36" s="14" t="s">
        <v>64</v>
      </c>
      <c r="C36" s="24">
        <v>25000</v>
      </c>
      <c r="F36" s="40" t="s">
        <v>134</v>
      </c>
      <c r="L36" s="5"/>
    </row>
    <row r="37" spans="1:12" ht="15.75">
      <c r="A37" s="3"/>
      <c r="B37" s="14" t="s">
        <v>61</v>
      </c>
      <c r="C37" s="7">
        <v>20</v>
      </c>
      <c r="D37" s="31" t="s">
        <v>68</v>
      </c>
      <c r="F37" s="40" t="s">
        <v>134</v>
      </c>
      <c r="L37" s="5"/>
    </row>
    <row r="38" spans="1:12" ht="15.75">
      <c r="A38" s="3"/>
      <c r="B38" s="14" t="s">
        <v>63</v>
      </c>
      <c r="C38" s="24">
        <v>5000</v>
      </c>
      <c r="D38" s="2"/>
      <c r="F38" s="40" t="s">
        <v>134</v>
      </c>
      <c r="L38" s="5"/>
    </row>
    <row r="39" spans="1:12" ht="15.75">
      <c r="A39" s="3"/>
      <c r="B39" s="14" t="s">
        <v>62</v>
      </c>
      <c r="C39" s="49">
        <v>5</v>
      </c>
      <c r="D39" s="31" t="s">
        <v>68</v>
      </c>
      <c r="F39" s="297" t="s">
        <v>134</v>
      </c>
      <c r="L39" s="5"/>
    </row>
    <row r="40" spans="1:12" ht="15.75">
      <c r="A40" s="3"/>
      <c r="B40" s="14" t="s">
        <v>8</v>
      </c>
      <c r="C40" s="24">
        <v>2500</v>
      </c>
      <c r="D40" s="31" t="s">
        <v>112</v>
      </c>
      <c r="F40" s="41" t="s">
        <v>137</v>
      </c>
      <c r="L40" s="5"/>
    </row>
    <row r="41" spans="1:12" ht="15.75">
      <c r="A41" s="3"/>
      <c r="B41" s="14" t="s">
        <v>8</v>
      </c>
      <c r="C41" s="24">
        <v>2500</v>
      </c>
      <c r="D41" s="140"/>
      <c r="F41" s="40" t="s">
        <v>161</v>
      </c>
      <c r="L41" s="5"/>
    </row>
    <row r="42" spans="1:12" ht="15.75">
      <c r="A42" s="3"/>
      <c r="B42" s="14" t="s">
        <v>175</v>
      </c>
      <c r="C42" s="24">
        <v>2000</v>
      </c>
      <c r="D42" s="139" t="s">
        <v>57</v>
      </c>
      <c r="F42" s="35" t="s">
        <v>176</v>
      </c>
      <c r="L42" s="5"/>
    </row>
    <row r="43" spans="1:12" ht="15.75">
      <c r="A43" s="3"/>
      <c r="B43" s="14" t="s">
        <v>149</v>
      </c>
      <c r="C43" s="7">
        <v>245</v>
      </c>
      <c r="D43" s="139" t="s">
        <v>57</v>
      </c>
      <c r="F43" s="35" t="s">
        <v>136</v>
      </c>
      <c r="L43" s="5"/>
    </row>
    <row r="44" spans="1:12" ht="15.75">
      <c r="A44" s="3"/>
      <c r="B44" s="79" t="s">
        <v>67</v>
      </c>
      <c r="C44" s="143">
        <f>+C15-C28-C29+C37+C39+C43</f>
        <v>715</v>
      </c>
      <c r="D44" s="142"/>
    </row>
    <row r="45" spans="1:12" ht="15.75">
      <c r="A45" s="3"/>
      <c r="B45" s="3"/>
      <c r="C45" s="25"/>
      <c r="D45" s="59"/>
    </row>
    <row r="46" spans="1:12" ht="15.75">
      <c r="A46" s="3"/>
      <c r="B46" s="153" t="s">
        <v>150</v>
      </c>
      <c r="C46" s="154">
        <f>+C27+C30+C32+C40+C41</f>
        <v>181958</v>
      </c>
      <c r="D46" s="139" t="s">
        <v>112</v>
      </c>
    </row>
    <row r="47" spans="1:12" ht="15.75">
      <c r="A47" s="3"/>
      <c r="B47" s="155" t="s">
        <v>92</v>
      </c>
      <c r="C47" s="156">
        <f>+C34+C36+C38+C42</f>
        <v>34000</v>
      </c>
      <c r="D47" s="139" t="s">
        <v>57</v>
      </c>
    </row>
    <row r="48" spans="1:12" ht="15.75">
      <c r="A48" s="3"/>
      <c r="B48" s="153" t="s">
        <v>151</v>
      </c>
      <c r="C48" s="154">
        <f>+C46-C47</f>
        <v>147958</v>
      </c>
      <c r="D48" s="139" t="s">
        <v>112</v>
      </c>
    </row>
    <row r="49" spans="1:6" ht="15.75">
      <c r="A49" s="3"/>
      <c r="B49" s="3"/>
      <c r="C49" s="4"/>
      <c r="D49" s="59"/>
    </row>
    <row r="50" spans="1:6" ht="15.75">
      <c r="A50" s="3"/>
      <c r="B50" s="384" t="s">
        <v>93</v>
      </c>
      <c r="C50" s="385">
        <f>+Results!E11+C48</f>
        <v>2425338</v>
      </c>
      <c r="D50" s="127"/>
    </row>
    <row r="51" spans="1:6" ht="15.75">
      <c r="B51" s="3"/>
      <c r="C51" s="4"/>
      <c r="D51" s="17"/>
      <c r="F51" s="20"/>
    </row>
    <row r="52" spans="1:6" ht="15.75">
      <c r="A52" s="3" t="s">
        <v>79</v>
      </c>
      <c r="B52" s="2"/>
    </row>
    <row r="53" spans="1:6" ht="15">
      <c r="A53" s="2"/>
      <c r="B53" s="14" t="s">
        <v>1</v>
      </c>
      <c r="C53" s="24">
        <v>828135</v>
      </c>
      <c r="D53" s="14" t="s">
        <v>57</v>
      </c>
      <c r="F53" s="20" t="s">
        <v>192</v>
      </c>
    </row>
    <row r="54" spans="1:6" ht="15">
      <c r="A54" s="2"/>
      <c r="B54" s="14" t="s">
        <v>9</v>
      </c>
      <c r="C54" s="24">
        <v>136881</v>
      </c>
      <c r="D54" s="14" t="s">
        <v>57</v>
      </c>
      <c r="F54" s="20" t="s">
        <v>193</v>
      </c>
    </row>
    <row r="55" spans="1:6" ht="15">
      <c r="A55" s="2"/>
      <c r="B55" s="14" t="s">
        <v>346</v>
      </c>
      <c r="C55" s="24"/>
      <c r="D55" s="14" t="s">
        <v>57</v>
      </c>
      <c r="F55" s="298" t="s">
        <v>193</v>
      </c>
    </row>
    <row r="56" spans="1:6" ht="15">
      <c r="A56" s="2"/>
      <c r="B56" s="14" t="s">
        <v>83</v>
      </c>
      <c r="C56" s="24">
        <v>36039</v>
      </c>
      <c r="D56" s="14" t="s">
        <v>57</v>
      </c>
      <c r="F56" s="20" t="s">
        <v>193</v>
      </c>
    </row>
    <row r="57" spans="1:6" ht="15.75" thickBot="1">
      <c r="A57" s="2"/>
      <c r="B57" s="14" t="s">
        <v>98</v>
      </c>
      <c r="C57" s="24"/>
      <c r="D57" s="14" t="s">
        <v>57</v>
      </c>
      <c r="F57" s="20" t="s">
        <v>193</v>
      </c>
    </row>
    <row r="58" spans="1:6" ht="16.5" thickBot="1">
      <c r="A58" s="2"/>
      <c r="B58" s="29" t="s">
        <v>20</v>
      </c>
      <c r="C58" s="13">
        <f>SUM(C53:C57)</f>
        <v>1001055</v>
      </c>
      <c r="D58" s="14" t="s">
        <v>57</v>
      </c>
      <c r="F58" s="20"/>
    </row>
    <row r="59" spans="1:6" ht="15.75">
      <c r="B59" s="3"/>
      <c r="C59" s="4"/>
      <c r="F59" s="20"/>
    </row>
    <row r="60" spans="1:6" ht="15.75">
      <c r="A60" s="3" t="s">
        <v>10</v>
      </c>
      <c r="B60" s="2"/>
    </row>
    <row r="61" spans="1:6" ht="15.75">
      <c r="A61" s="16" t="s">
        <v>12</v>
      </c>
      <c r="F61" s="298" t="s">
        <v>349</v>
      </c>
    </row>
    <row r="62" spans="1:6" ht="15">
      <c r="A62" s="2"/>
      <c r="B62" s="14" t="s">
        <v>11</v>
      </c>
      <c r="C62" s="24">
        <v>4614</v>
      </c>
      <c r="D62" s="14" t="s">
        <v>57</v>
      </c>
      <c r="F62" s="20" t="s">
        <v>162</v>
      </c>
    </row>
    <row r="63" spans="1:6" ht="15">
      <c r="A63" s="2"/>
      <c r="B63" s="14" t="s">
        <v>194</v>
      </c>
      <c r="C63" s="24">
        <v>300</v>
      </c>
      <c r="D63" s="14" t="s">
        <v>57</v>
      </c>
      <c r="F63" s="298" t="s">
        <v>162</v>
      </c>
    </row>
    <row r="64" spans="1:6" ht="15">
      <c r="A64" s="2"/>
      <c r="B64" s="14" t="s">
        <v>95</v>
      </c>
      <c r="C64" s="24"/>
      <c r="D64" s="14" t="s">
        <v>57</v>
      </c>
      <c r="F64" s="298" t="s">
        <v>162</v>
      </c>
    </row>
    <row r="65" spans="1:6" ht="15">
      <c r="A65" s="2"/>
      <c r="B65" s="14" t="s">
        <v>96</v>
      </c>
      <c r="C65" s="24"/>
      <c r="D65" s="14" t="s">
        <v>57</v>
      </c>
      <c r="F65" s="298" t="s">
        <v>162</v>
      </c>
    </row>
    <row r="66" spans="1:6" ht="15">
      <c r="A66" s="2"/>
      <c r="B66" s="14" t="s">
        <v>347</v>
      </c>
      <c r="C66" s="24">
        <v>1000</v>
      </c>
      <c r="D66" s="14" t="s">
        <v>57</v>
      </c>
      <c r="F66" s="371" t="s">
        <v>348</v>
      </c>
    </row>
    <row r="67" spans="1:6" ht="15">
      <c r="A67" s="2"/>
      <c r="B67" s="14" t="s">
        <v>138</v>
      </c>
      <c r="C67" s="24"/>
      <c r="D67" s="14" t="s">
        <v>57</v>
      </c>
      <c r="F67" s="298" t="str">
        <f>F64</f>
        <v>Report  costs from Coop Summary</v>
      </c>
    </row>
    <row r="68" spans="1:6" ht="15.75" thickBot="1">
      <c r="A68" s="2"/>
      <c r="B68" s="43" t="s">
        <v>97</v>
      </c>
      <c r="C68" s="44">
        <v>500</v>
      </c>
      <c r="D68" s="14" t="s">
        <v>57</v>
      </c>
      <c r="F68" s="20" t="s">
        <v>163</v>
      </c>
    </row>
    <row r="69" spans="1:6" ht="32.25" thickBot="1">
      <c r="A69" s="2"/>
      <c r="B69" s="181" t="s">
        <v>276</v>
      </c>
      <c r="C69" s="46">
        <f>SUM(C62:C68)</f>
        <v>6414</v>
      </c>
      <c r="D69" s="45" t="s">
        <v>57</v>
      </c>
      <c r="F69" s="20"/>
    </row>
    <row r="70" spans="1:6" ht="15.75">
      <c r="B70" s="3"/>
      <c r="D70" s="20"/>
    </row>
    <row r="71" spans="1:6" ht="15.75">
      <c r="A71" s="3" t="s">
        <v>14</v>
      </c>
      <c r="B71" s="2"/>
      <c r="D71" s="20"/>
    </row>
    <row r="72" spans="1:6" ht="15">
      <c r="A72" s="2"/>
      <c r="B72" s="14" t="s">
        <v>15</v>
      </c>
      <c r="C72" s="24">
        <v>21967</v>
      </c>
      <c r="D72" s="31" t="s">
        <v>57</v>
      </c>
      <c r="F72" s="20"/>
    </row>
    <row r="73" spans="1:6" ht="15">
      <c r="A73" s="2"/>
      <c r="B73" s="14" t="s">
        <v>16</v>
      </c>
      <c r="C73" s="24">
        <v>39869</v>
      </c>
      <c r="D73" s="31" t="s">
        <v>57</v>
      </c>
      <c r="F73" s="20"/>
    </row>
    <row r="74" spans="1:6" ht="15">
      <c r="A74" s="2"/>
      <c r="B74" s="14" t="s">
        <v>17</v>
      </c>
      <c r="C74" s="24">
        <v>47655</v>
      </c>
      <c r="D74" s="31" t="s">
        <v>57</v>
      </c>
      <c r="F74" s="20"/>
    </row>
    <row r="75" spans="1:6" ht="15">
      <c r="A75" s="2"/>
      <c r="B75" s="14" t="s">
        <v>18</v>
      </c>
      <c r="C75" s="24">
        <v>9306</v>
      </c>
      <c r="D75" s="31" t="s">
        <v>57</v>
      </c>
    </row>
    <row r="76" spans="1:6" ht="15">
      <c r="A76" s="2"/>
      <c r="B76" s="14" t="s">
        <v>13</v>
      </c>
      <c r="C76" s="24">
        <v>17305</v>
      </c>
      <c r="D76" s="147" t="s">
        <v>57</v>
      </c>
      <c r="F76" s="20" t="s">
        <v>164</v>
      </c>
    </row>
    <row r="77" spans="1:6" ht="15.75" thickBot="1">
      <c r="A77" s="2"/>
      <c r="B77" s="139" t="s">
        <v>200</v>
      </c>
      <c r="C77" s="148"/>
      <c r="D77" s="147" t="s">
        <v>57</v>
      </c>
      <c r="F77" s="20"/>
    </row>
    <row r="78" spans="1:6" ht="16.5" thickBot="1">
      <c r="A78" s="2"/>
      <c r="B78" s="11" t="s">
        <v>19</v>
      </c>
      <c r="C78" s="9">
        <f>SUM(C72:C77)</f>
        <v>136102</v>
      </c>
      <c r="D78" s="146" t="s">
        <v>57</v>
      </c>
      <c r="F78" s="20"/>
    </row>
    <row r="79" spans="1:6" ht="15.75">
      <c r="B79" s="3"/>
      <c r="C79" s="4"/>
      <c r="D79" s="2"/>
      <c r="F79" s="20"/>
    </row>
    <row r="80" spans="1:6" ht="15.75">
      <c r="A80" s="3" t="s">
        <v>99</v>
      </c>
      <c r="B80" s="2"/>
      <c r="D80" s="2"/>
    </row>
    <row r="81" spans="1:6" ht="15">
      <c r="A81" s="2"/>
      <c r="B81" s="14" t="s">
        <v>144</v>
      </c>
      <c r="C81" s="24">
        <v>12488</v>
      </c>
      <c r="D81" s="14" t="s">
        <v>57</v>
      </c>
      <c r="F81" s="20" t="s">
        <v>165</v>
      </c>
    </row>
    <row r="82" spans="1:6" ht="15.75" thickBot="1">
      <c r="A82" s="2"/>
      <c r="B82" s="43" t="s">
        <v>22</v>
      </c>
      <c r="C82" s="44">
        <v>11959</v>
      </c>
      <c r="D82" s="14" t="s">
        <v>57</v>
      </c>
      <c r="F82" s="20" t="s">
        <v>139</v>
      </c>
    </row>
    <row r="83" spans="1:6" ht="16.5" thickBot="1">
      <c r="A83" s="2"/>
      <c r="B83" s="29" t="s">
        <v>44</v>
      </c>
      <c r="C83" s="13">
        <f>SUM(C81:C82)</f>
        <v>24447</v>
      </c>
      <c r="D83" s="146" t="s">
        <v>57</v>
      </c>
      <c r="F83" s="20"/>
    </row>
    <row r="84" spans="1:6" ht="15.75">
      <c r="B84" s="3"/>
      <c r="C84" s="4"/>
      <c r="D84" s="33"/>
      <c r="F84" s="20"/>
    </row>
    <row r="85" spans="1:6" ht="15.75">
      <c r="A85" s="3" t="s">
        <v>69</v>
      </c>
      <c r="B85" s="144"/>
      <c r="C85" s="55"/>
      <c r="D85" s="141"/>
      <c r="F85" s="20"/>
    </row>
    <row r="86" spans="1:6" ht="15.75">
      <c r="A86" s="2"/>
      <c r="B86" s="144" t="s">
        <v>23</v>
      </c>
      <c r="C86" s="145" t="s">
        <v>21</v>
      </c>
      <c r="D86" s="141"/>
    </row>
    <row r="87" spans="1:6" ht="15">
      <c r="A87" s="2"/>
      <c r="B87" s="14" t="s">
        <v>24</v>
      </c>
      <c r="C87" s="24">
        <v>46019</v>
      </c>
      <c r="D87" s="14" t="s">
        <v>57</v>
      </c>
      <c r="F87" s="20" t="s">
        <v>166</v>
      </c>
    </row>
    <row r="88" spans="1:6" ht="15">
      <c r="A88" s="2"/>
      <c r="B88" s="14" t="s">
        <v>58</v>
      </c>
      <c r="C88" s="24"/>
      <c r="D88" s="14" t="s">
        <v>57</v>
      </c>
      <c r="F88" s="20" t="s">
        <v>140</v>
      </c>
    </row>
    <row r="89" spans="1:6" ht="15">
      <c r="A89" s="2"/>
      <c r="B89" s="14" t="s">
        <v>25</v>
      </c>
      <c r="C89" s="24">
        <v>16758</v>
      </c>
      <c r="D89" s="158" t="s">
        <v>57</v>
      </c>
      <c r="F89" s="298" t="s">
        <v>311</v>
      </c>
    </row>
    <row r="90" spans="1:6" ht="15">
      <c r="A90" s="2"/>
      <c r="B90" s="14" t="s">
        <v>45</v>
      </c>
      <c r="C90" s="24"/>
      <c r="D90" s="14" t="s">
        <v>57</v>
      </c>
    </row>
    <row r="91" spans="1:6" ht="15">
      <c r="A91" s="2"/>
      <c r="B91" s="14" t="s">
        <v>46</v>
      </c>
      <c r="C91" s="24"/>
      <c r="D91" s="14" t="s">
        <v>57</v>
      </c>
      <c r="F91" s="20" t="s">
        <v>141</v>
      </c>
    </row>
    <row r="92" spans="1:6" ht="15">
      <c r="A92" s="2"/>
      <c r="B92" s="14" t="s">
        <v>26</v>
      </c>
      <c r="C92" s="24">
        <v>10183</v>
      </c>
      <c r="D92" s="14" t="s">
        <v>57</v>
      </c>
      <c r="F92" s="42" t="s">
        <v>167</v>
      </c>
    </row>
    <row r="93" spans="1:6" ht="15">
      <c r="A93" s="2"/>
      <c r="B93" s="43" t="s">
        <v>27</v>
      </c>
      <c r="C93" s="44">
        <v>18103</v>
      </c>
      <c r="D93" s="43" t="s">
        <v>57</v>
      </c>
      <c r="F93" s="42" t="s">
        <v>195</v>
      </c>
    </row>
    <row r="94" spans="1:6" ht="15">
      <c r="A94" s="2"/>
      <c r="B94" s="14" t="s">
        <v>350</v>
      </c>
      <c r="C94" s="24">
        <v>9856</v>
      </c>
      <c r="D94" s="14" t="s">
        <v>57</v>
      </c>
      <c r="F94" s="42"/>
    </row>
    <row r="95" spans="1:6" ht="16.5" thickBot="1">
      <c r="B95" s="372" t="s">
        <v>47</v>
      </c>
      <c r="C95" s="373">
        <f>SUM(C86:C94)</f>
        <v>100919</v>
      </c>
      <c r="D95" s="157" t="s">
        <v>57</v>
      </c>
      <c r="F95" s="20"/>
    </row>
    <row r="96" spans="1:6" ht="15.75">
      <c r="B96" s="16"/>
      <c r="C96" s="18"/>
      <c r="D96" s="16"/>
      <c r="F96" s="20"/>
    </row>
    <row r="97" spans="1:6" ht="15.75">
      <c r="A97" s="3" t="s">
        <v>28</v>
      </c>
      <c r="B97" s="2"/>
    </row>
    <row r="98" spans="1:6" ht="15">
      <c r="A98" s="2"/>
      <c r="B98" s="14" t="s">
        <v>29</v>
      </c>
      <c r="C98" s="24">
        <v>12815</v>
      </c>
      <c r="D98" s="14" t="s">
        <v>57</v>
      </c>
      <c r="F98" s="42" t="s">
        <v>196</v>
      </c>
    </row>
    <row r="99" spans="1:6" ht="15">
      <c r="A99" s="2"/>
      <c r="B99" s="14" t="s">
        <v>30</v>
      </c>
      <c r="C99" s="24">
        <v>5921</v>
      </c>
      <c r="D99" s="14" t="s">
        <v>57</v>
      </c>
      <c r="F99" s="42" t="s">
        <v>168</v>
      </c>
    </row>
    <row r="100" spans="1:6" ht="15">
      <c r="A100" s="2"/>
      <c r="B100" s="14" t="s">
        <v>31</v>
      </c>
      <c r="C100" s="24">
        <v>20176</v>
      </c>
      <c r="D100" s="43" t="s">
        <v>57</v>
      </c>
    </row>
    <row r="101" spans="1:6" ht="15.75" thickBot="1">
      <c r="A101" s="2"/>
      <c r="B101" s="43" t="s">
        <v>32</v>
      </c>
      <c r="C101" s="44">
        <v>2939</v>
      </c>
      <c r="D101" s="43" t="s">
        <v>57</v>
      </c>
      <c r="F101" s="42" t="s">
        <v>169</v>
      </c>
    </row>
    <row r="102" spans="1:6" ht="16.5" thickBot="1">
      <c r="B102" s="29" t="s">
        <v>33</v>
      </c>
      <c r="C102" s="13">
        <f>SUM(C98:C101)</f>
        <v>41851</v>
      </c>
      <c r="D102" s="45" t="s">
        <v>57</v>
      </c>
      <c r="F102" s="20"/>
    </row>
    <row r="103" spans="1:6" ht="15.75">
      <c r="B103" s="16"/>
      <c r="C103" s="18"/>
      <c r="D103" s="2"/>
      <c r="F103" s="20"/>
    </row>
    <row r="104" spans="1:6" ht="15.75">
      <c r="A104" s="3" t="s">
        <v>34</v>
      </c>
      <c r="B104" s="2"/>
      <c r="F104" s="20"/>
    </row>
    <row r="105" spans="1:6" ht="15">
      <c r="A105" s="2"/>
      <c r="B105" s="14" t="s">
        <v>35</v>
      </c>
      <c r="C105" s="24">
        <v>21152</v>
      </c>
      <c r="D105" s="14" t="s">
        <v>57</v>
      </c>
      <c r="E105" s="55"/>
      <c r="F105" s="20" t="s">
        <v>170</v>
      </c>
    </row>
    <row r="106" spans="1:6" ht="15.75" thickBot="1">
      <c r="A106" s="2"/>
      <c r="B106" s="43" t="s">
        <v>36</v>
      </c>
      <c r="C106" s="44">
        <v>37959</v>
      </c>
      <c r="D106" s="14" t="s">
        <v>57</v>
      </c>
      <c r="E106" s="55"/>
      <c r="F106" s="20"/>
    </row>
    <row r="107" spans="1:6" ht="16.5" thickBot="1">
      <c r="B107" s="29" t="s">
        <v>37</v>
      </c>
      <c r="C107" s="13">
        <f>SUM(C105:C106)</f>
        <v>59111</v>
      </c>
      <c r="D107" s="11" t="s">
        <v>57</v>
      </c>
      <c r="E107" s="59"/>
      <c r="F107" s="20"/>
    </row>
    <row r="108" spans="1:6" ht="15.75">
      <c r="B108" s="16"/>
      <c r="D108" s="59"/>
    </row>
    <row r="109" spans="1:6" ht="15.75">
      <c r="A109" s="3" t="s">
        <v>38</v>
      </c>
      <c r="B109" s="2"/>
      <c r="C109" s="43" t="s">
        <v>70</v>
      </c>
      <c r="D109" s="359">
        <v>11.1</v>
      </c>
      <c r="F109" s="33" t="s">
        <v>171</v>
      </c>
    </row>
    <row r="110" spans="1:6" ht="15">
      <c r="A110" s="2"/>
      <c r="B110" s="68" t="s">
        <v>39</v>
      </c>
      <c r="C110" s="7">
        <v>10</v>
      </c>
      <c r="D110" s="90"/>
      <c r="E110" s="55"/>
    </row>
    <row r="111" spans="1:6" ht="15">
      <c r="A111" s="2"/>
      <c r="B111" s="14" t="s">
        <v>40</v>
      </c>
      <c r="C111" s="24">
        <v>191493</v>
      </c>
      <c r="D111" s="14" t="s">
        <v>57</v>
      </c>
      <c r="E111" s="55"/>
      <c r="F111" s="20" t="s">
        <v>142</v>
      </c>
    </row>
    <row r="112" spans="1:6" ht="15">
      <c r="A112" s="2"/>
      <c r="B112" s="14" t="s">
        <v>41</v>
      </c>
      <c r="C112" s="24">
        <v>50465</v>
      </c>
      <c r="D112" s="14" t="s">
        <v>57</v>
      </c>
      <c r="E112" s="55"/>
      <c r="F112" s="20" t="s">
        <v>197</v>
      </c>
    </row>
    <row r="113" spans="1:7" ht="15">
      <c r="A113" s="2"/>
      <c r="B113" s="14" t="s">
        <v>42</v>
      </c>
      <c r="C113" s="24">
        <v>28964</v>
      </c>
      <c r="D113" s="43" t="s">
        <v>57</v>
      </c>
      <c r="F113" s="20" t="s">
        <v>172</v>
      </c>
    </row>
    <row r="114" spans="1:7" ht="15.75" thickBot="1">
      <c r="A114" s="2"/>
      <c r="B114" s="43" t="s">
        <v>36</v>
      </c>
      <c r="C114" s="44"/>
      <c r="D114" s="43" t="s">
        <v>57</v>
      </c>
      <c r="F114" s="42" t="s">
        <v>173</v>
      </c>
    </row>
    <row r="115" spans="1:7" ht="15.75">
      <c r="B115" s="360" t="s">
        <v>43</v>
      </c>
      <c r="C115" s="361">
        <f>SUM(C111:C114)</f>
        <v>270922</v>
      </c>
      <c r="D115" s="360" t="s">
        <v>57</v>
      </c>
      <c r="F115" s="42" t="s">
        <v>174</v>
      </c>
    </row>
    <row r="116" spans="1:7" ht="15.75">
      <c r="B116" s="16"/>
      <c r="C116" s="18"/>
      <c r="D116" s="16"/>
      <c r="F116" s="42"/>
    </row>
    <row r="117" spans="1:7" ht="15.75">
      <c r="A117" s="3" t="s">
        <v>48</v>
      </c>
      <c r="B117" s="2"/>
      <c r="F117" s="20"/>
    </row>
    <row r="118" spans="1:7" ht="15">
      <c r="A118" s="2"/>
      <c r="B118" s="14" t="s">
        <v>143</v>
      </c>
      <c r="C118" s="24">
        <v>88279</v>
      </c>
      <c r="D118" s="14" t="s">
        <v>57</v>
      </c>
      <c r="F118" s="20"/>
    </row>
    <row r="119" spans="1:7" ht="15">
      <c r="A119" s="2"/>
      <c r="B119" s="43" t="s">
        <v>351</v>
      </c>
      <c r="C119" s="44">
        <v>44078</v>
      </c>
      <c r="D119" s="43" t="s">
        <v>57</v>
      </c>
      <c r="F119" s="20"/>
      <c r="G119" s="20"/>
    </row>
    <row r="120" spans="1:7" ht="15.75" thickBot="1">
      <c r="A120" s="2"/>
      <c r="B120" s="14" t="s">
        <v>352</v>
      </c>
      <c r="C120" s="24">
        <v>44159</v>
      </c>
      <c r="D120" s="14" t="s">
        <v>57</v>
      </c>
      <c r="F120" s="20"/>
      <c r="G120" s="20"/>
    </row>
    <row r="121" spans="1:7" ht="16.5" thickBot="1">
      <c r="B121" s="29" t="s">
        <v>73</v>
      </c>
      <c r="C121" s="13">
        <f>SUM(C118:C120)</f>
        <v>176516</v>
      </c>
      <c r="D121" s="45" t="s">
        <v>57</v>
      </c>
      <c r="F121" s="20"/>
      <c r="G121" s="20"/>
    </row>
    <row r="122" spans="1:7" ht="15.75">
      <c r="B122" s="16"/>
      <c r="E122" s="20"/>
    </row>
    <row r="123" spans="1:7" ht="15.75">
      <c r="A123" s="3" t="s">
        <v>49</v>
      </c>
      <c r="B123" s="2"/>
      <c r="F123" s="20"/>
      <c r="G123" s="20"/>
    </row>
    <row r="124" spans="1:7" ht="15">
      <c r="A124" s="2"/>
      <c r="B124" s="14" t="s">
        <v>72</v>
      </c>
      <c r="C124" s="24">
        <v>4654</v>
      </c>
      <c r="D124" s="14" t="s">
        <v>57</v>
      </c>
      <c r="F124" s="20"/>
      <c r="G124" s="20"/>
    </row>
    <row r="125" spans="1:7" ht="15">
      <c r="A125" s="2"/>
      <c r="B125" s="14" t="s">
        <v>50</v>
      </c>
      <c r="C125" s="24">
        <v>8899</v>
      </c>
      <c r="D125" s="14" t="s">
        <v>57</v>
      </c>
      <c r="F125" s="20"/>
      <c r="G125" s="20"/>
    </row>
    <row r="126" spans="1:7" ht="15">
      <c r="A126" s="2"/>
      <c r="B126" s="14" t="s">
        <v>51</v>
      </c>
      <c r="C126" s="24">
        <v>24200</v>
      </c>
      <c r="D126" s="14" t="s">
        <v>57</v>
      </c>
      <c r="F126" s="20"/>
      <c r="G126" s="20"/>
    </row>
    <row r="127" spans="1:7" ht="15">
      <c r="A127" s="2"/>
      <c r="B127" s="14" t="s">
        <v>103</v>
      </c>
      <c r="C127" s="24"/>
      <c r="D127" s="14" t="s">
        <v>57</v>
      </c>
      <c r="F127" s="20"/>
      <c r="G127" s="20"/>
    </row>
    <row r="128" spans="1:7" ht="15">
      <c r="A128" s="2"/>
      <c r="B128" s="14" t="s">
        <v>104</v>
      </c>
      <c r="C128" s="24"/>
      <c r="D128" s="14" t="s">
        <v>57</v>
      </c>
      <c r="F128" s="20"/>
      <c r="G128" s="20"/>
    </row>
    <row r="129" spans="1:9" ht="15.75" thickBot="1">
      <c r="A129" s="2"/>
      <c r="B129" s="14" t="s">
        <v>59</v>
      </c>
      <c r="C129" s="24">
        <v>7356</v>
      </c>
      <c r="D129" s="14" t="s">
        <v>57</v>
      </c>
      <c r="F129" s="20"/>
      <c r="G129" s="20"/>
    </row>
    <row r="130" spans="1:9" ht="16.5" thickBot="1">
      <c r="B130" s="29" t="s">
        <v>71</v>
      </c>
      <c r="C130" s="13">
        <f>SUM(C124:C129)</f>
        <v>45109</v>
      </c>
      <c r="D130" s="11" t="s">
        <v>57</v>
      </c>
      <c r="F130" s="20"/>
      <c r="G130" s="20"/>
    </row>
    <row r="131" spans="1:9" ht="15">
      <c r="B131" s="2"/>
      <c r="D131" s="2"/>
      <c r="F131" s="34"/>
      <c r="G131" s="34" t="s">
        <v>21</v>
      </c>
    </row>
    <row r="132" spans="1:9" ht="15.75">
      <c r="A132" s="3" t="s">
        <v>74</v>
      </c>
      <c r="B132" s="2"/>
      <c r="D132" s="2"/>
    </row>
    <row r="133" spans="1:9" ht="15.75">
      <c r="B133" s="11" t="s">
        <v>74</v>
      </c>
      <c r="C133" s="24">
        <v>122642</v>
      </c>
      <c r="F133" s="34" t="s">
        <v>159</v>
      </c>
    </row>
    <row r="134" spans="1:9">
      <c r="A134" s="17"/>
      <c r="B134" s="17"/>
      <c r="C134" s="8"/>
      <c r="F134" s="20"/>
    </row>
    <row r="135" spans="1:9" ht="15.75">
      <c r="A135" s="11" t="s">
        <v>122</v>
      </c>
      <c r="B135" s="11"/>
      <c r="C135" s="9">
        <f>+C58+C69+C78+C83+C95+C102+C107+C115+C121+C130</f>
        <v>1862446</v>
      </c>
      <c r="I135" s="34"/>
    </row>
    <row r="136" spans="1:9" ht="15.75">
      <c r="A136" s="11" t="s">
        <v>123</v>
      </c>
      <c r="B136" s="15"/>
      <c r="C136" s="9">
        <f>+C135+C133</f>
        <v>1985088</v>
      </c>
      <c r="F136" s="16"/>
    </row>
    <row r="137" spans="1:9" ht="15.75">
      <c r="A137" s="3" t="s">
        <v>21</v>
      </c>
      <c r="B137" s="2"/>
      <c r="F137" s="20"/>
    </row>
    <row r="138" spans="1:9" ht="13.5" thickBot="1">
      <c r="H138" s="34"/>
      <c r="I138" s="17" t="s">
        <v>21</v>
      </c>
    </row>
    <row r="139" spans="1:9" ht="16.5" thickBot="1">
      <c r="B139" s="29" t="s">
        <v>153</v>
      </c>
      <c r="C139" s="12"/>
      <c r="D139" s="47">
        <v>50000</v>
      </c>
    </row>
    <row r="140" spans="1:9" ht="15.75">
      <c r="B140" s="3"/>
    </row>
    <row r="141" spans="1:9">
      <c r="C141" s="14" t="s">
        <v>121</v>
      </c>
      <c r="D141" s="7">
        <v>12</v>
      </c>
      <c r="F141" s="6" t="s">
        <v>185</v>
      </c>
    </row>
    <row r="142" spans="1:9">
      <c r="C142" s="14" t="s">
        <v>117</v>
      </c>
      <c r="D142" s="24">
        <v>500000</v>
      </c>
      <c r="F142" t="s">
        <v>181</v>
      </c>
    </row>
    <row r="143" spans="1:9">
      <c r="C143" s="14" t="s">
        <v>182</v>
      </c>
      <c r="D143" s="24">
        <v>1200000</v>
      </c>
      <c r="F143" t="s">
        <v>177</v>
      </c>
    </row>
    <row r="144" spans="1:9" ht="13.5" thickBot="1">
      <c r="C144" s="43" t="s">
        <v>114</v>
      </c>
      <c r="D144" s="44">
        <v>800000</v>
      </c>
      <c r="F144" t="s">
        <v>178</v>
      </c>
    </row>
    <row r="145" spans="2:6" ht="16.5" thickBot="1">
      <c r="B145" s="29" t="s">
        <v>183</v>
      </c>
      <c r="C145" s="12"/>
      <c r="D145" s="48">
        <f>SUM(D143:D144)</f>
        <v>2000000</v>
      </c>
      <c r="F145" t="s">
        <v>179</v>
      </c>
    </row>
    <row r="146" spans="2:6">
      <c r="D146" s="5"/>
      <c r="F146" t="s">
        <v>180</v>
      </c>
    </row>
  </sheetData>
  <sheetProtection sheet="1" selectLockedCells="1"/>
  <mergeCells count="1">
    <mergeCell ref="A1:I1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zoomScale="90" zoomScaleNormal="90" workbookViewId="0">
      <pane ySplit="3" topLeftCell="A121" activePane="bottomLeft" state="frozen"/>
      <selection activeCell="E12" sqref="E12"/>
      <selection pane="bottomLeft" activeCell="F21" sqref="F21"/>
    </sheetView>
  </sheetViews>
  <sheetFormatPr defaultRowHeight="12.75"/>
  <cols>
    <col min="1" max="1" width="5.85546875" style="17" customWidth="1"/>
    <col min="2" max="2" width="18.42578125" style="17" customWidth="1"/>
    <col min="3" max="3" width="13.85546875" style="17" customWidth="1"/>
    <col min="4" max="4" width="11.5703125" style="17" customWidth="1"/>
    <col min="5" max="5" width="16.5703125" style="17" customWidth="1"/>
    <col min="6" max="6" width="13.7109375" style="17" customWidth="1"/>
    <col min="7" max="7" width="14.85546875" style="17" customWidth="1"/>
    <col min="8" max="8" width="13.42578125" style="17" customWidth="1"/>
    <col min="9" max="9" width="12.7109375" style="17" customWidth="1"/>
    <col min="10" max="10" width="11.85546875" style="17" customWidth="1"/>
    <col min="13" max="13" width="14.7109375" bestFit="1" customWidth="1"/>
    <col min="14" max="14" width="11" bestFit="1" customWidth="1"/>
  </cols>
  <sheetData>
    <row r="1" spans="1:13" ht="23.25">
      <c r="A1" s="401" t="s">
        <v>190</v>
      </c>
      <c r="B1" s="401"/>
      <c r="C1" s="401"/>
      <c r="D1" s="401"/>
      <c r="E1" s="401"/>
      <c r="F1" s="401"/>
      <c r="G1" s="401"/>
      <c r="H1" s="401"/>
      <c r="I1" s="401"/>
      <c r="J1" s="401"/>
    </row>
    <row r="2" spans="1:13" ht="15.75">
      <c r="E2" s="16" t="s">
        <v>54</v>
      </c>
      <c r="F2" s="16" t="s">
        <v>55</v>
      </c>
      <c r="G2" s="16" t="s">
        <v>130</v>
      </c>
      <c r="H2" s="16" t="s">
        <v>129</v>
      </c>
      <c r="I2" s="16" t="s">
        <v>56</v>
      </c>
      <c r="J2" s="16" t="s">
        <v>343</v>
      </c>
    </row>
    <row r="3" spans="1:13" ht="15.75">
      <c r="J3" s="16" t="s">
        <v>342</v>
      </c>
    </row>
    <row r="4" spans="1:13" ht="15.75">
      <c r="C4" s="16"/>
    </row>
    <row r="5" spans="1:13" ht="15.75">
      <c r="B5" s="127" t="s">
        <v>0</v>
      </c>
      <c r="L5" s="5"/>
    </row>
    <row r="6" spans="1:13" ht="15.75">
      <c r="B6" s="324" t="s">
        <v>86</v>
      </c>
      <c r="C6" s="325"/>
      <c r="D6" s="326"/>
      <c r="E6" s="327">
        <f>+'Entreprise Budget'!C13</f>
        <v>2275380</v>
      </c>
      <c r="F6" s="328">
        <f>'Entreprise Budget'!C13/'Entreprise Budget'!$C$6</f>
        <v>6216.8852459016398</v>
      </c>
      <c r="G6" s="328">
        <f>+'Entreprise Budget'!C13/'Entreprise Budget'!$C$44</f>
        <v>3182.3496503496503</v>
      </c>
      <c r="H6" s="328">
        <f>+G6/'Entreprise Budget'!$C$6</f>
        <v>8.6949443998624325</v>
      </c>
      <c r="I6" s="328">
        <f>+'Entreprise Budget'!C13/'Entreprise Budget'!$C$14*100</f>
        <v>15.005357501795066</v>
      </c>
      <c r="J6" s="329">
        <f>+I6/$I$36</f>
        <v>0.93817026740190446</v>
      </c>
      <c r="L6" s="5"/>
    </row>
    <row r="7" spans="1:13" ht="15.75">
      <c r="B7" s="16"/>
      <c r="C7" s="16"/>
      <c r="E7" s="18"/>
      <c r="F7" s="19"/>
      <c r="G7" s="19"/>
      <c r="H7" s="19"/>
      <c r="I7" s="19"/>
      <c r="J7" s="21"/>
      <c r="L7" s="5"/>
    </row>
    <row r="8" spans="1:13" ht="15.75">
      <c r="B8" s="16"/>
      <c r="C8" s="16"/>
      <c r="E8" s="18"/>
      <c r="F8" s="19"/>
      <c r="G8" s="19"/>
      <c r="H8" s="19"/>
      <c r="I8" s="19"/>
      <c r="J8" s="21"/>
      <c r="L8" s="5"/>
    </row>
    <row r="9" spans="1:13" ht="15.75">
      <c r="B9" s="324" t="s">
        <v>127</v>
      </c>
      <c r="C9" s="325"/>
      <c r="D9" s="326"/>
      <c r="E9" s="327">
        <f>+'Entreprise Budget'!C19-'Entreprise Budget'!C20</f>
        <v>2000</v>
      </c>
      <c r="F9" s="328">
        <f>E9/'Entreprise Budget'!$C$6</f>
        <v>5.4644808743169397</v>
      </c>
      <c r="G9" s="328">
        <f>+E9/'Entreprise Budget'!$C$44</f>
        <v>2.7972027972027971</v>
      </c>
      <c r="H9" s="328">
        <f>+G9/'Entreprise Budget'!$C$6</f>
        <v>7.6426305934502656E-3</v>
      </c>
      <c r="I9" s="328">
        <f>E9/'Entreprise Budget'!$C$14*100</f>
        <v>1.3189320027243859E-2</v>
      </c>
      <c r="J9" s="329">
        <f>+I9/$I$36</f>
        <v>8.2462733029375706E-4</v>
      </c>
      <c r="L9" s="5"/>
    </row>
    <row r="10" spans="1:13" ht="15.75">
      <c r="B10" s="16"/>
      <c r="C10" s="16"/>
      <c r="E10" s="18"/>
      <c r="F10" s="19"/>
      <c r="G10" s="19"/>
      <c r="H10" s="19"/>
      <c r="I10" s="19"/>
      <c r="J10" s="21"/>
      <c r="L10" s="5"/>
    </row>
    <row r="11" spans="1:13" ht="16.5" thickBot="1">
      <c r="B11" s="374" t="s">
        <v>188</v>
      </c>
      <c r="C11" s="374"/>
      <c r="D11" s="375"/>
      <c r="E11" s="376">
        <f>+E6+E9</f>
        <v>2277380</v>
      </c>
      <c r="F11" s="377">
        <f>E11/'Entreprise Budget'!$C$6</f>
        <v>6222.3497267759567</v>
      </c>
      <c r="G11" s="377">
        <f>+E11/'Entreprise Budget'!$C$44</f>
        <v>3185.1468531468531</v>
      </c>
      <c r="H11" s="377">
        <f>+G11/'Entreprise Budget'!$C$6</f>
        <v>8.7025870304558826</v>
      </c>
      <c r="I11" s="377">
        <f>E11/'Entreprise Budget'!$C$14*100</f>
        <v>15.018546821822309</v>
      </c>
      <c r="J11" s="378">
        <f>+I11/$I$36</f>
        <v>0.9389948947321981</v>
      </c>
      <c r="L11" s="5"/>
    </row>
    <row r="12" spans="1:13" ht="16.5" thickTop="1">
      <c r="B12" s="16"/>
      <c r="C12" s="16"/>
      <c r="E12" s="18"/>
      <c r="F12" s="19"/>
      <c r="G12" s="19"/>
      <c r="H12" s="19"/>
      <c r="I12" s="19"/>
      <c r="J12" s="21"/>
      <c r="L12" s="5"/>
    </row>
    <row r="13" spans="1:13" ht="15.75">
      <c r="B13" s="16" t="s">
        <v>60</v>
      </c>
      <c r="C13" s="16"/>
      <c r="J13" s="28"/>
      <c r="L13" s="5"/>
    </row>
    <row r="14" spans="1:13">
      <c r="B14" s="68" t="s">
        <v>5</v>
      </c>
      <c r="C14" s="69">
        <f>+'Entreprise Budget'!C27/'Entreprise Budget'!C28</f>
        <v>681.81818181818187</v>
      </c>
      <c r="D14" s="69" t="s">
        <v>88</v>
      </c>
      <c r="E14" s="70">
        <f>+'Entreprise Budget'!C27</f>
        <v>150000</v>
      </c>
      <c r="F14" s="71">
        <f>'Entreprise Budget'!C27/'Entreprise Budget'!$C$6</f>
        <v>409.8360655737705</v>
      </c>
      <c r="G14" s="71">
        <f>+'Entreprise Budget'!C27/'Entreprise Budget'!$C$44</f>
        <v>209.79020979020979</v>
      </c>
      <c r="H14" s="71">
        <f>+G14/'Entreprise Budget'!$C$6</f>
        <v>0.57319729450876988</v>
      </c>
      <c r="I14" s="71">
        <f>+'Entreprise Budget'!C27/'Entreprise Budget'!$C$14*100</f>
        <v>0.98919900204328948</v>
      </c>
      <c r="J14" s="72">
        <f>+I14/$I$36</f>
        <v>6.184704977203178E-2</v>
      </c>
      <c r="L14" s="5"/>
    </row>
    <row r="15" spans="1:13">
      <c r="B15" s="73" t="s">
        <v>52</v>
      </c>
      <c r="C15" s="61"/>
      <c r="D15" s="61"/>
      <c r="E15" s="22"/>
      <c r="F15" s="23"/>
      <c r="G15" s="23"/>
      <c r="H15" s="23"/>
      <c r="I15" s="23"/>
      <c r="J15" s="74"/>
      <c r="L15" s="5"/>
      <c r="M15" s="33"/>
    </row>
    <row r="16" spans="1:13">
      <c r="B16" s="73" t="s">
        <v>66</v>
      </c>
      <c r="C16" s="61"/>
      <c r="D16" s="61"/>
      <c r="E16" s="22"/>
      <c r="F16" s="23"/>
      <c r="G16" s="23"/>
      <c r="H16" s="23"/>
      <c r="I16" s="23"/>
      <c r="J16" s="74"/>
      <c r="L16" s="5"/>
      <c r="M16" s="33"/>
    </row>
    <row r="17" spans="2:14">
      <c r="B17" s="73" t="s">
        <v>6</v>
      </c>
      <c r="C17" s="22">
        <f>+'Entreprise Budget'!C30/'Entreprise Budget'!C31</f>
        <v>114.85840707964601</v>
      </c>
      <c r="D17" s="61" t="s">
        <v>88</v>
      </c>
      <c r="E17" s="22">
        <f>+'Entreprise Budget'!C30</f>
        <v>25958</v>
      </c>
      <c r="F17" s="23">
        <f>'Entreprise Budget'!C30/'Entreprise Budget'!$C$6</f>
        <v>70.923497267759558</v>
      </c>
      <c r="G17" s="23">
        <f>+'Entreprise Budget'!C30/'Entreprise Budget'!$C$44</f>
        <v>36.304895104895103</v>
      </c>
      <c r="H17" s="23">
        <f>+G17/'Entreprise Budget'!$C$6</f>
        <v>9.9193702472390996E-2</v>
      </c>
      <c r="I17" s="23">
        <f>+'Entreprise Budget'!C30/'Entreprise Budget'!$C$14*100</f>
        <v>0.17118418463359805</v>
      </c>
      <c r="J17" s="74">
        <f>+I17/$I$36</f>
        <v>1.0702838119882672E-2</v>
      </c>
      <c r="L17" s="5"/>
    </row>
    <row r="18" spans="2:14">
      <c r="B18" s="73" t="s">
        <v>53</v>
      </c>
      <c r="C18" s="33"/>
      <c r="D18" s="33"/>
      <c r="E18" s="20"/>
      <c r="F18" s="20"/>
      <c r="G18" s="20"/>
      <c r="H18" s="20"/>
      <c r="I18" s="20"/>
      <c r="J18" s="75"/>
      <c r="L18" s="5"/>
    </row>
    <row r="19" spans="2:14">
      <c r="B19" s="73" t="s">
        <v>7</v>
      </c>
      <c r="C19" s="22">
        <f>+'Entreprise Budget'!C32/'Entreprise Budget'!C33</f>
        <v>500</v>
      </c>
      <c r="D19" s="61" t="s">
        <v>88</v>
      </c>
      <c r="E19" s="22">
        <f>+'Entreprise Budget'!C32</f>
        <v>1000</v>
      </c>
      <c r="F19" s="23">
        <f>'Entreprise Budget'!C32/'Entreprise Budget'!$C$6</f>
        <v>2.7322404371584699</v>
      </c>
      <c r="G19" s="23">
        <f>+'Entreprise Budget'!C32/'Entreprise Budget'!$C$44</f>
        <v>1.3986013986013985</v>
      </c>
      <c r="H19" s="23">
        <f>+G19/'Entreprise Budget'!$C$6</f>
        <v>3.8213152967251328E-3</v>
      </c>
      <c r="I19" s="23">
        <f>+'Entreprise Budget'!C32/'Entreprise Budget'!$C$14*100</f>
        <v>6.5946600136219296E-3</v>
      </c>
      <c r="J19" s="74">
        <f>+I19/$I$36</f>
        <v>4.1231366514687853E-4</v>
      </c>
      <c r="L19" s="5"/>
    </row>
    <row r="20" spans="2:14">
      <c r="B20" s="73" t="s">
        <v>89</v>
      </c>
      <c r="C20" s="33"/>
      <c r="D20" s="33"/>
      <c r="E20" s="20"/>
      <c r="F20" s="20"/>
      <c r="G20" s="20"/>
      <c r="H20" s="20"/>
      <c r="I20" s="20"/>
      <c r="J20" s="75"/>
      <c r="L20" s="5"/>
    </row>
    <row r="21" spans="2:14">
      <c r="B21" s="73" t="s">
        <v>90</v>
      </c>
      <c r="C21" s="33"/>
      <c r="D21" s="33"/>
      <c r="E21" s="20"/>
      <c r="F21" s="20"/>
      <c r="G21" s="20"/>
      <c r="H21" s="20"/>
      <c r="I21" s="20"/>
      <c r="J21" s="75"/>
      <c r="L21" s="5"/>
    </row>
    <row r="22" spans="2:14">
      <c r="B22" s="73" t="s">
        <v>91</v>
      </c>
      <c r="C22" s="33"/>
      <c r="D22" s="33"/>
      <c r="E22" s="20"/>
      <c r="F22" s="20"/>
      <c r="G22" s="20"/>
      <c r="H22" s="20"/>
      <c r="I22" s="20"/>
      <c r="J22" s="75"/>
      <c r="L22" s="5"/>
      <c r="M22" s="299" t="s">
        <v>312</v>
      </c>
    </row>
    <row r="23" spans="2:14">
      <c r="B23" s="73" t="s">
        <v>64</v>
      </c>
      <c r="C23" s="22">
        <f>+'Entreprise Budget'!C36/'Entreprise Budget'!C37</f>
        <v>1250</v>
      </c>
      <c r="D23" s="61" t="s">
        <v>88</v>
      </c>
      <c r="E23" s="22">
        <f>-'Entreprise Budget'!C36</f>
        <v>-25000</v>
      </c>
      <c r="F23" s="23">
        <f>-'Entreprise Budget'!C36/'Entreprise Budget'!$C$6</f>
        <v>-68.306010928961754</v>
      </c>
      <c r="G23" s="23">
        <f>-'Entreprise Budget'!C36/'Entreprise Budget'!$C$44</f>
        <v>-34.965034965034967</v>
      </c>
      <c r="H23" s="23">
        <f>+G23/'Entreprise Budget'!$C$6</f>
        <v>-9.5532882418128323E-2</v>
      </c>
      <c r="I23" s="23">
        <f>-'Entreprise Budget'!C36/'Entreprise Budget'!$C$14*100</f>
        <v>-0.16486650034054823</v>
      </c>
      <c r="J23" s="74">
        <f>+I23/$I$36</f>
        <v>-1.0307841628671962E-2</v>
      </c>
      <c r="L23" s="5"/>
      <c r="M23" s="299" t="s">
        <v>86</v>
      </c>
      <c r="N23" s="300">
        <f>E6</f>
        <v>2275380</v>
      </c>
    </row>
    <row r="24" spans="2:14">
      <c r="B24" s="73" t="s">
        <v>61</v>
      </c>
      <c r="C24" s="33"/>
      <c r="D24" s="33"/>
      <c r="E24" s="20"/>
      <c r="F24" s="20"/>
      <c r="G24" s="20"/>
      <c r="H24" s="20"/>
      <c r="I24" s="20"/>
      <c r="J24" s="75"/>
      <c r="L24" s="5"/>
      <c r="M24" s="299" t="s">
        <v>313</v>
      </c>
      <c r="N24" s="300">
        <f>E9</f>
        <v>2000</v>
      </c>
    </row>
    <row r="25" spans="2:14">
      <c r="B25" s="73" t="s">
        <v>63</v>
      </c>
      <c r="C25" s="22">
        <f>+'Entreprise Budget'!C38/'Entreprise Budget'!C39</f>
        <v>1000</v>
      </c>
      <c r="D25" s="61" t="s">
        <v>88</v>
      </c>
      <c r="E25" s="22">
        <f>-'Entreprise Budget'!C38</f>
        <v>-5000</v>
      </c>
      <c r="F25" s="23">
        <f>-'Entreprise Budget'!C38/'Entreprise Budget'!$C$6</f>
        <v>-13.66120218579235</v>
      </c>
      <c r="G25" s="23">
        <f>-'Entreprise Budget'!C38/'Entreprise Budget'!$C$44</f>
        <v>-6.9930069930069934</v>
      </c>
      <c r="H25" s="23">
        <f>+G25/'Entreprise Budget'!$C$6</f>
        <v>-1.9106576483625664E-2</v>
      </c>
      <c r="I25" s="23">
        <f>-'Entreprise Budget'!C38/'Entreprise Budget'!$C$14*100</f>
        <v>-3.2973300068109647E-2</v>
      </c>
      <c r="J25" s="74">
        <f>+I25/$I$36</f>
        <v>-2.0615683257343923E-3</v>
      </c>
      <c r="L25" s="5"/>
      <c r="M25" s="299" t="s">
        <v>274</v>
      </c>
      <c r="N25" s="300">
        <f>E32</f>
        <v>181958</v>
      </c>
    </row>
    <row r="26" spans="2:14">
      <c r="B26" s="73" t="s">
        <v>62</v>
      </c>
      <c r="E26" s="20"/>
      <c r="F26" s="20"/>
      <c r="G26" s="20"/>
      <c r="H26" s="20"/>
      <c r="I26" s="20"/>
      <c r="J26" s="75"/>
      <c r="L26" s="5"/>
    </row>
    <row r="27" spans="2:14">
      <c r="B27" s="73" t="s">
        <v>8</v>
      </c>
      <c r="C27" s="62"/>
      <c r="D27" s="62"/>
      <c r="E27" s="22">
        <f>+'Entreprise Budget'!C40</f>
        <v>2500</v>
      </c>
      <c r="F27" s="23">
        <f>'Entreprise Budget'!C40/'Entreprise Budget'!$C$6</f>
        <v>6.8306010928961749</v>
      </c>
      <c r="G27" s="23">
        <f>+'Entreprise Budget'!C40/'Entreprise Budget'!$C$44</f>
        <v>3.4965034965034967</v>
      </c>
      <c r="H27" s="23">
        <f>+G27/'Entreprise Budget'!$C$6</f>
        <v>9.553288241812832E-3</v>
      </c>
      <c r="I27" s="23">
        <f>+'Entreprise Budget'!C40/'Entreprise Budget'!$C$14*100</f>
        <v>1.6486650034054823E-2</v>
      </c>
      <c r="J27" s="74">
        <f>+I27/$I$36</f>
        <v>1.0307841628671962E-3</v>
      </c>
      <c r="L27" s="5"/>
    </row>
    <row r="28" spans="2:14">
      <c r="B28" s="73" t="s">
        <v>8</v>
      </c>
      <c r="C28" s="62"/>
      <c r="D28" s="62"/>
      <c r="E28" s="22">
        <f>+'Entreprise Budget'!C41</f>
        <v>2500</v>
      </c>
      <c r="F28" s="23">
        <f>'Entreprise Budget'!C41/'Entreprise Budget'!$C$6</f>
        <v>6.8306010928961749</v>
      </c>
      <c r="G28" s="23">
        <f>+'Entreprise Budget'!C41/'Entreprise Budget'!$C$44</f>
        <v>3.4965034965034967</v>
      </c>
      <c r="H28" s="23">
        <f>+G28/'Entreprise Budget'!$C$6</f>
        <v>9.553288241812832E-3</v>
      </c>
      <c r="I28" s="23">
        <f>+'Entreprise Budget'!C41/'Entreprise Budget'!$C$14*100</f>
        <v>1.6486650034054823E-2</v>
      </c>
      <c r="J28" s="74">
        <f>+I28/$I$36</f>
        <v>1.0307841628671962E-3</v>
      </c>
      <c r="L28" s="5"/>
    </row>
    <row r="29" spans="2:14">
      <c r="B29" s="73" t="s">
        <v>175</v>
      </c>
      <c r="C29" s="62"/>
      <c r="D29" s="62"/>
      <c r="E29" s="22">
        <f>+'Entreprise Budget'!C42</f>
        <v>2000</v>
      </c>
      <c r="F29" s="23">
        <f>'Entreprise Budget'!C42/'Entreprise Budget'!$C$6</f>
        <v>5.4644808743169397</v>
      </c>
      <c r="G29" s="23">
        <f>+'Entreprise Budget'!C42/'Entreprise Budget'!$C$44</f>
        <v>2.7972027972027971</v>
      </c>
      <c r="H29" s="23">
        <f>+G29/'Entreprise Budget'!$C$6</f>
        <v>7.6426305934502656E-3</v>
      </c>
      <c r="I29" s="23">
        <f>+'Entreprise Budget'!C42/'Entreprise Budget'!$C$14*100</f>
        <v>1.3189320027243859E-2</v>
      </c>
      <c r="J29" s="74">
        <f>+I29/$I$36</f>
        <v>8.2462733029375706E-4</v>
      </c>
      <c r="L29" s="5"/>
    </row>
    <row r="30" spans="2:14">
      <c r="B30" s="73" t="s">
        <v>149</v>
      </c>
      <c r="J30" s="77"/>
      <c r="L30" s="5"/>
    </row>
    <row r="31" spans="2:14">
      <c r="B31" s="78"/>
      <c r="I31" s="302">
        <f>I30*(Benchmarks!D27/Benchmarks!H25)</f>
        <v>0</v>
      </c>
      <c r="J31" s="77"/>
      <c r="L31" s="5"/>
    </row>
    <row r="32" spans="2:14" ht="15">
      <c r="B32" s="364" t="s">
        <v>152</v>
      </c>
      <c r="C32" s="365"/>
      <c r="D32" s="365"/>
      <c r="E32" s="365">
        <f>+'Entreprise Budget'!C46</f>
        <v>181958</v>
      </c>
      <c r="F32" s="366">
        <f>'Entreprise Budget'!C46/'Entreprise Budget'!$C$6</f>
        <v>497.15300546448088</v>
      </c>
      <c r="G32" s="366">
        <f>+'Entreprise Budget'!C46/'Entreprise Budget'!$C$44</f>
        <v>254.4867132867133</v>
      </c>
      <c r="H32" s="366">
        <f>+G32/'Entreprise Budget'!$C$6</f>
        <v>0.69531888876151171</v>
      </c>
      <c r="I32" s="366">
        <f>+'Entreprise Budget'!C46/'Entreprise Budget'!$C$14*100</f>
        <v>1.199951146758619</v>
      </c>
      <c r="J32" s="367">
        <f>+I32/$I$36</f>
        <v>7.5023769882795716E-2</v>
      </c>
      <c r="L32" s="5"/>
    </row>
    <row r="33" spans="2:14" ht="15">
      <c r="B33" s="362" t="s">
        <v>108</v>
      </c>
      <c r="C33" s="124"/>
      <c r="D33" s="124"/>
      <c r="E33" s="124">
        <f>-'Entreprise Budget'!C47</f>
        <v>-34000</v>
      </c>
      <c r="F33" s="125">
        <f>-'Entreprise Budget'!C47/'Entreprise Budget'!$C$6</f>
        <v>-92.896174863387984</v>
      </c>
      <c r="G33" s="125">
        <f>-'Entreprise Budget'!C47/'Entreprise Budget'!$C$44</f>
        <v>-47.552447552447553</v>
      </c>
      <c r="H33" s="125">
        <f>+G33/'Entreprise Budget'!$C$6</f>
        <v>-0.12992472008865452</v>
      </c>
      <c r="I33" s="125">
        <f>-'Entreprise Budget'!C47/'Entreprise Budget'!$C$14*100</f>
        <v>-0.22421844046314562</v>
      </c>
      <c r="J33" s="126">
        <f>+I33/$I$36</f>
        <v>-1.401866461499387E-2</v>
      </c>
      <c r="L33" s="5"/>
    </row>
    <row r="34" spans="2:14" ht="15.75">
      <c r="B34" s="363" t="s">
        <v>151</v>
      </c>
      <c r="C34" s="321"/>
      <c r="D34" s="321"/>
      <c r="E34" s="321">
        <f>+'Entreprise Budget'!C48</f>
        <v>147958</v>
      </c>
      <c r="F34" s="322">
        <f>'Entreprise Budget'!C48/'Entreprise Budget'!$C$6</f>
        <v>404.25683060109287</v>
      </c>
      <c r="G34" s="322">
        <f>+'Entreprise Budget'!C48/'Entreprise Budget'!$C$44</f>
        <v>206.93426573426572</v>
      </c>
      <c r="H34" s="322">
        <f>+G34/'Entreprise Budget'!$C$6</f>
        <v>0.56539416867285719</v>
      </c>
      <c r="I34" s="322">
        <f>+'Entreprise Budget'!C48/'Entreprise Budget'!$C$14*100</f>
        <v>0.97573270629547348</v>
      </c>
      <c r="J34" s="323">
        <f>+I34/$I$36</f>
        <v>6.1005105267801854E-2</v>
      </c>
      <c r="L34" s="5"/>
    </row>
    <row r="35" spans="2:14" ht="15.75">
      <c r="B35" s="16"/>
      <c r="C35" s="16"/>
      <c r="E35" s="18"/>
      <c r="F35" s="19"/>
      <c r="G35" s="19"/>
      <c r="H35" s="19"/>
      <c r="I35" s="19"/>
      <c r="J35" s="21"/>
      <c r="L35" s="5"/>
    </row>
    <row r="36" spans="2:14" ht="16.5" thickBot="1">
      <c r="B36" s="379" t="s">
        <v>93</v>
      </c>
      <c r="C36" s="379"/>
      <c r="D36" s="380"/>
      <c r="E36" s="381">
        <f>+'Entreprise Budget'!C50</f>
        <v>2425338</v>
      </c>
      <c r="F36" s="382">
        <f>'Entreprise Budget'!C50/365</f>
        <v>6644.7616438356163</v>
      </c>
      <c r="G36" s="382">
        <f>+'Entreprise Budget'!C50/'Entreprise Budget'!$C$44</f>
        <v>3392.081118881119</v>
      </c>
      <c r="H36" s="382">
        <f>+G36/'Entreprise Budget'!$C$6</f>
        <v>9.2679811991287409</v>
      </c>
      <c r="I36" s="382">
        <f>+'Entreprise Budget'!C50/'Entreprise Budget'!$C$14*100</f>
        <v>15.994279528117783</v>
      </c>
      <c r="J36" s="383">
        <f>+I36/I36</f>
        <v>1</v>
      </c>
      <c r="L36" s="5"/>
    </row>
    <row r="37" spans="2:14" ht="16.5" thickTop="1">
      <c r="B37" s="16"/>
      <c r="C37" s="16"/>
      <c r="E37" s="18"/>
      <c r="F37" s="19"/>
      <c r="G37" s="19"/>
      <c r="H37" s="19"/>
      <c r="I37" s="19"/>
      <c r="J37" s="21"/>
      <c r="L37" s="5"/>
    </row>
    <row r="38" spans="2:14" ht="15.75">
      <c r="B38" s="16" t="s">
        <v>79</v>
      </c>
      <c r="C38" s="26"/>
      <c r="L38" s="5"/>
    </row>
    <row r="39" spans="2:14" ht="15">
      <c r="B39" s="80"/>
      <c r="C39" s="81" t="s">
        <v>1</v>
      </c>
      <c r="D39" s="60"/>
      <c r="E39" s="70">
        <f>+'Entreprise Budget'!C53</f>
        <v>828135</v>
      </c>
      <c r="F39" s="71">
        <f>'Entreprise Budget'!C53/365</f>
        <v>2268.8630136986303</v>
      </c>
      <c r="G39" s="71">
        <f>+'Entreprise Budget'!C53/'Entreprise Budget'!$C$44</f>
        <v>1158.2307692307693</v>
      </c>
      <c r="H39" s="71">
        <f>+G39/'Entreprise Budget'!$C$6</f>
        <v>3.1645649432534682</v>
      </c>
      <c r="I39" s="71">
        <f>+'Entreprise Budget'!C53/'Entreprise Budget'!$C$14*100</f>
        <v>5.4612687703807969</v>
      </c>
      <c r="J39" s="72">
        <f>E39/$E$120</f>
        <v>0.44464913345138596</v>
      </c>
      <c r="L39" s="5"/>
    </row>
    <row r="40" spans="2:14" ht="15">
      <c r="B40" s="82"/>
      <c r="C40" s="33" t="s">
        <v>9</v>
      </c>
      <c r="D40" s="62"/>
      <c r="E40" s="22">
        <f>+'Entreprise Budget'!C54</f>
        <v>136881</v>
      </c>
      <c r="F40" s="23">
        <f>'Entreprise Budget'!C54/365</f>
        <v>375.01643835616437</v>
      </c>
      <c r="G40" s="23">
        <f>+'Entreprise Budget'!C54/'Entreprise Budget'!$C$44</f>
        <v>191.44195804195803</v>
      </c>
      <c r="H40" s="23">
        <f>+G40/'Entreprise Budget'!$C$6</f>
        <v>0.52306545913103286</v>
      </c>
      <c r="I40" s="23">
        <f>+'Entreprise Budget'!C54/'Entreprise Budget'!$C$14*100</f>
        <v>0.90268365732458344</v>
      </c>
      <c r="J40" s="74">
        <f>+I40/$I$120</f>
        <v>7.3495285232430915E-2</v>
      </c>
      <c r="L40" s="5"/>
    </row>
    <row r="41" spans="2:14" ht="15">
      <c r="B41" s="82"/>
      <c r="C41" s="33" t="s">
        <v>353</v>
      </c>
      <c r="D41" s="62"/>
      <c r="E41" s="22">
        <f>+'Entreprise Budget'!C55</f>
        <v>0</v>
      </c>
      <c r="F41" s="23">
        <f>'Entreprise Budget'!C55/365</f>
        <v>0</v>
      </c>
      <c r="G41" s="23">
        <f>+'Entreprise Budget'!C55/'Entreprise Budget'!$C$44</f>
        <v>0</v>
      </c>
      <c r="H41" s="23">
        <f>+G41/'Entreprise Budget'!$C$6</f>
        <v>0</v>
      </c>
      <c r="I41" s="23">
        <f>+'Entreprise Budget'!C55/'Entreprise Budget'!$C$14*100</f>
        <v>0</v>
      </c>
      <c r="J41" s="74">
        <f>+I41/$I$120</f>
        <v>0</v>
      </c>
      <c r="L41" s="5"/>
    </row>
    <row r="42" spans="2:14" ht="15">
      <c r="B42" s="82"/>
      <c r="C42" s="33" t="s">
        <v>83</v>
      </c>
      <c r="D42" s="62"/>
      <c r="E42" s="22">
        <f>+'Entreprise Budget'!C56</f>
        <v>36039</v>
      </c>
      <c r="F42" s="23">
        <f>'Entreprise Budget'!C56/365</f>
        <v>98.736986301369868</v>
      </c>
      <c r="G42" s="23">
        <f>+'Entreprise Budget'!C56/'Entreprise Budget'!$C$44</f>
        <v>50.404195804195801</v>
      </c>
      <c r="H42" s="23">
        <f>+G42/'Entreprise Budget'!$C$6</f>
        <v>0.13771638197867705</v>
      </c>
      <c r="I42" s="23">
        <f>+'Entreprise Budget'!C56/'Entreprise Budget'!$C$14*100</f>
        <v>0.23766495223092074</v>
      </c>
      <c r="J42" s="74">
        <f>+I42/$I$120</f>
        <v>1.9350359688280899E-2</v>
      </c>
      <c r="L42" s="5"/>
    </row>
    <row r="43" spans="2:14" ht="15">
      <c r="B43" s="82"/>
      <c r="C43" s="33" t="s">
        <v>98</v>
      </c>
      <c r="D43" s="62"/>
      <c r="E43" s="22">
        <f>+'Entreprise Budget'!C57</f>
        <v>0</v>
      </c>
      <c r="F43" s="23">
        <f>'Entreprise Budget'!C57/365</f>
        <v>0</v>
      </c>
      <c r="G43" s="23">
        <f>+'Entreprise Budget'!C57/'Entreprise Budget'!$C$44</f>
        <v>0</v>
      </c>
      <c r="H43" s="23">
        <f>+G43/'Entreprise Budget'!$C$6</f>
        <v>0</v>
      </c>
      <c r="I43" s="23">
        <f>+'Entreprise Budget'!C57/'Entreprise Budget'!$C$14*100</f>
        <v>0</v>
      </c>
      <c r="J43" s="74">
        <f>+I43/$I$120</f>
        <v>0</v>
      </c>
      <c r="L43" s="5"/>
      <c r="M43" t="s">
        <v>94</v>
      </c>
      <c r="N43" s="300">
        <f>E44</f>
        <v>1001055</v>
      </c>
    </row>
    <row r="44" spans="2:14" ht="15.75">
      <c r="B44" s="83" t="s">
        <v>94</v>
      </c>
      <c r="C44" s="84"/>
      <c r="D44" s="84"/>
      <c r="E44" s="85">
        <f>+'Entreprise Budget'!C58</f>
        <v>1001055</v>
      </c>
      <c r="F44" s="86">
        <f>'Entreprise Budget'!C58/365</f>
        <v>2742.6164383561645</v>
      </c>
      <c r="G44" s="86">
        <f>+'Entreprise Budget'!C58/'Entreprise Budget'!$C$44</f>
        <v>1400.0769230769231</v>
      </c>
      <c r="H44" s="86">
        <f>+G44/'Entreprise Budget'!$C$6</f>
        <v>3.8253467843631777</v>
      </c>
      <c r="I44" s="86">
        <f>+'Entreprise Budget'!C58/'Entreprise Budget'!$C$14*100</f>
        <v>6.6016173799363003</v>
      </c>
      <c r="J44" s="87">
        <f>+I44/$I$120</f>
        <v>0.5374947783720978</v>
      </c>
      <c r="M44" t="s">
        <v>186</v>
      </c>
      <c r="N44" s="300">
        <f>E55</f>
        <v>6414</v>
      </c>
    </row>
    <row r="45" spans="2:14" ht="15.75">
      <c r="B45" s="16"/>
      <c r="C45" s="16"/>
      <c r="D45" s="20"/>
      <c r="E45" s="18"/>
      <c r="F45" s="19"/>
      <c r="G45" s="19"/>
      <c r="H45" s="19"/>
      <c r="I45" s="19"/>
      <c r="J45" s="27"/>
      <c r="L45" s="10"/>
      <c r="M45" t="s">
        <v>184</v>
      </c>
      <c r="N45" s="300">
        <f>E63</f>
        <v>136102</v>
      </c>
    </row>
    <row r="46" spans="2:14" ht="15.75">
      <c r="B46" s="16" t="s">
        <v>10</v>
      </c>
      <c r="C46" s="26"/>
      <c r="L46" s="10"/>
      <c r="M46" t="s">
        <v>44</v>
      </c>
      <c r="N46" s="300">
        <f>E68</f>
        <v>24447</v>
      </c>
    </row>
    <row r="47" spans="2:14" ht="15.75">
      <c r="B47" s="88" t="s">
        <v>12</v>
      </c>
      <c r="C47" s="89"/>
      <c r="D47" s="52"/>
      <c r="E47" s="52"/>
      <c r="F47" s="52"/>
      <c r="G47" s="52"/>
      <c r="H47" s="52"/>
      <c r="I47" s="52"/>
      <c r="J47" s="90"/>
      <c r="M47" t="s">
        <v>100</v>
      </c>
      <c r="N47" s="300">
        <f>E80</f>
        <v>100919</v>
      </c>
    </row>
    <row r="48" spans="2:14">
      <c r="B48" s="73"/>
      <c r="C48" s="33" t="s">
        <v>11</v>
      </c>
      <c r="E48" s="22">
        <f>+'Entreprise Budget'!C62</f>
        <v>4614</v>
      </c>
      <c r="F48" s="23">
        <f>'Entreprise Budget'!C62/365</f>
        <v>12.641095890410959</v>
      </c>
      <c r="G48" s="23">
        <f>+'Entreprise Budget'!C62/'Entreprise Budget'!$C$44</f>
        <v>6.453146853146853</v>
      </c>
      <c r="H48" s="23">
        <f>+G48/'Entreprise Budget'!$C$6</f>
        <v>1.7631548779089762E-2</v>
      </c>
      <c r="I48" s="23">
        <f>+'Entreprise Budget'!C62/'Entreprise Budget'!$C$14*100</f>
        <v>3.0427761302851585E-2</v>
      </c>
      <c r="J48" s="74">
        <f t="shared" ref="J48:J55" si="0">+I48/$I$120</f>
        <v>2.4773872638455025E-3</v>
      </c>
      <c r="M48" t="s">
        <v>101</v>
      </c>
      <c r="N48" s="300">
        <f>E87</f>
        <v>41851</v>
      </c>
    </row>
    <row r="49" spans="2:14">
      <c r="B49" s="91"/>
      <c r="C49" s="33" t="s">
        <v>194</v>
      </c>
      <c r="D49" s="63"/>
      <c r="E49" s="22">
        <f>+'Entreprise Budget'!C63</f>
        <v>300</v>
      </c>
      <c r="F49" s="23">
        <f>'Entreprise Budget'!C63/365</f>
        <v>0.82191780821917804</v>
      </c>
      <c r="G49" s="23">
        <f>+'Entreprise Budget'!C63/'Entreprise Budget'!$C$44</f>
        <v>0.41958041958041958</v>
      </c>
      <c r="H49" s="23">
        <f>+G49/'Entreprise Budget'!$C$6</f>
        <v>1.1463945890175398E-3</v>
      </c>
      <c r="I49" s="23">
        <f>+'Entreprise Budget'!C63/'Entreprise Budget'!$C$14*100</f>
        <v>1.9783980040865789E-3</v>
      </c>
      <c r="J49" s="74">
        <f t="shared" si="0"/>
        <v>1.6107849569866724E-4</v>
      </c>
      <c r="M49" t="s">
        <v>102</v>
      </c>
      <c r="N49" s="300">
        <f>E92</f>
        <v>59111</v>
      </c>
    </row>
    <row r="50" spans="2:14">
      <c r="B50" s="91"/>
      <c r="C50" s="33" t="s">
        <v>95</v>
      </c>
      <c r="D50" s="63"/>
      <c r="E50" s="22">
        <f>+'Entreprise Budget'!C64</f>
        <v>0</v>
      </c>
      <c r="F50" s="23">
        <f>'Entreprise Budget'!C64/365</f>
        <v>0</v>
      </c>
      <c r="G50" s="23">
        <f>+'Entreprise Budget'!C64/'Entreprise Budget'!$C$44</f>
        <v>0</v>
      </c>
      <c r="H50" s="23">
        <f>+G50/'Entreprise Budget'!$C$6</f>
        <v>0</v>
      </c>
      <c r="I50" s="23">
        <f>+'Entreprise Budget'!C64/'Entreprise Budget'!$C$14*100</f>
        <v>0</v>
      </c>
      <c r="J50" s="74">
        <f t="shared" si="0"/>
        <v>0</v>
      </c>
      <c r="M50" t="s">
        <v>43</v>
      </c>
      <c r="N50" s="300">
        <f>E100</f>
        <v>270922</v>
      </c>
    </row>
    <row r="51" spans="2:14">
      <c r="B51" s="91"/>
      <c r="C51" s="33" t="s">
        <v>96</v>
      </c>
      <c r="D51" s="63"/>
      <c r="E51" s="22">
        <f>+'Entreprise Budget'!C65</f>
        <v>0</v>
      </c>
      <c r="F51" s="23">
        <f>'Entreprise Budget'!C65/365</f>
        <v>0</v>
      </c>
      <c r="G51" s="23">
        <f>+'Entreprise Budget'!C65/'Entreprise Budget'!$C$44</f>
        <v>0</v>
      </c>
      <c r="H51" s="23">
        <f>+G51/'Entreprise Budget'!$C$6</f>
        <v>0</v>
      </c>
      <c r="I51" s="23">
        <f>+'Entreprise Budget'!C65/'Entreprise Budget'!$C$14*100</f>
        <v>0</v>
      </c>
      <c r="J51" s="74">
        <f t="shared" si="0"/>
        <v>0</v>
      </c>
      <c r="M51" t="s">
        <v>73</v>
      </c>
      <c r="N51" s="300">
        <f>E106</f>
        <v>176516</v>
      </c>
    </row>
    <row r="52" spans="2:14">
      <c r="B52" s="91"/>
      <c r="C52" s="33" t="s">
        <v>347</v>
      </c>
      <c r="D52" s="63"/>
      <c r="E52" s="22">
        <f>+'Entreprise Budget'!C66</f>
        <v>1000</v>
      </c>
      <c r="F52" s="23">
        <f>'Entreprise Budget'!C66/365</f>
        <v>2.7397260273972601</v>
      </c>
      <c r="G52" s="23">
        <f>+'Entreprise Budget'!C66/'Entreprise Budget'!$C$44</f>
        <v>1.3986013986013985</v>
      </c>
      <c r="H52" s="23">
        <f>+G52/'Entreprise Budget'!$C$6</f>
        <v>3.8213152967251328E-3</v>
      </c>
      <c r="I52" s="23">
        <f>+'Entreprise Budget'!C66/'Entreprise Budget'!$C$14*100</f>
        <v>6.5946600136219296E-3</v>
      </c>
      <c r="J52" s="74">
        <f t="shared" si="0"/>
        <v>5.369283189955575E-4</v>
      </c>
      <c r="M52" t="s">
        <v>71</v>
      </c>
      <c r="N52" s="300">
        <f>E115</f>
        <v>45109</v>
      </c>
    </row>
    <row r="53" spans="2:14">
      <c r="B53" s="92"/>
      <c r="C53" s="33" t="s">
        <v>138</v>
      </c>
      <c r="D53" s="62"/>
      <c r="E53" s="22">
        <f>+'Entreprise Budget'!C67</f>
        <v>0</v>
      </c>
      <c r="F53" s="23">
        <f>'Entreprise Budget'!C67/365</f>
        <v>0</v>
      </c>
      <c r="G53" s="23">
        <f>+'Entreprise Budget'!C67/'Entreprise Budget'!$C$44</f>
        <v>0</v>
      </c>
      <c r="H53" s="23">
        <f>+G53/'Entreprise Budget'!$C$6</f>
        <v>0</v>
      </c>
      <c r="I53" s="23">
        <f>+'Entreprise Budget'!C67/'Entreprise Budget'!$C$14*100</f>
        <v>0</v>
      </c>
      <c r="J53" s="74">
        <f t="shared" si="0"/>
        <v>0</v>
      </c>
      <c r="M53" t="s">
        <v>187</v>
      </c>
      <c r="N53" s="300">
        <f>E118</f>
        <v>122642</v>
      </c>
    </row>
    <row r="54" spans="2:14">
      <c r="B54" s="91"/>
      <c r="C54" s="33" t="s">
        <v>97</v>
      </c>
      <c r="D54" s="63"/>
      <c r="E54" s="22">
        <f>+'Entreprise Budget'!C68</f>
        <v>500</v>
      </c>
      <c r="F54" s="23">
        <f>'Entreprise Budget'!C68/365</f>
        <v>1.3698630136986301</v>
      </c>
      <c r="G54" s="23">
        <f>+'Entreprise Budget'!C68/'Entreprise Budget'!$C$44</f>
        <v>0.69930069930069927</v>
      </c>
      <c r="H54" s="23">
        <f>+G54/'Entreprise Budget'!$C$6</f>
        <v>1.9106576483625664E-3</v>
      </c>
      <c r="I54" s="23">
        <f>+'Entreprise Budget'!C68/'Entreprise Budget'!$C$14*100</f>
        <v>3.2973300068109648E-3</v>
      </c>
      <c r="J54" s="74">
        <f t="shared" si="0"/>
        <v>2.6846415949777875E-4</v>
      </c>
    </row>
    <row r="55" spans="2:14" ht="15.75">
      <c r="B55" s="83" t="s">
        <v>186</v>
      </c>
      <c r="C55" s="84"/>
      <c r="D55" s="84"/>
      <c r="E55" s="85">
        <f>+'Entreprise Budget'!C69</f>
        <v>6414</v>
      </c>
      <c r="F55" s="86">
        <f>'Entreprise Budget'!C69/365</f>
        <v>17.572602739726026</v>
      </c>
      <c r="G55" s="86">
        <f>+'Entreprise Budget'!C69/'Entreprise Budget'!$C$44</f>
        <v>8.9706293706293714</v>
      </c>
      <c r="H55" s="86">
        <f>+G55/'Entreprise Budget'!$C$6</f>
        <v>2.4509916313195004E-2</v>
      </c>
      <c r="I55" s="86">
        <f>+'Entreprise Budget'!C69/'Entreprise Budget'!$C$14*100</f>
        <v>4.2298149327371054E-2</v>
      </c>
      <c r="J55" s="87">
        <f t="shared" si="0"/>
        <v>3.4438582380375052E-3</v>
      </c>
    </row>
    <row r="56" spans="2:14">
      <c r="J56" s="28"/>
    </row>
    <row r="57" spans="2:14" ht="15.75">
      <c r="B57" s="16" t="s">
        <v>14</v>
      </c>
      <c r="C57" s="26"/>
      <c r="J57" s="28"/>
    </row>
    <row r="58" spans="2:14" ht="15">
      <c r="B58" s="80"/>
      <c r="C58" s="81" t="s">
        <v>15</v>
      </c>
      <c r="D58" s="81"/>
      <c r="E58" s="70">
        <f>+'Entreprise Budget'!C72</f>
        <v>21967</v>
      </c>
      <c r="F58" s="71">
        <f>'Entreprise Budget'!C72/365</f>
        <v>60.183561643835617</v>
      </c>
      <c r="G58" s="71">
        <f>+'Entreprise Budget'!C72/'Entreprise Budget'!$C$44</f>
        <v>30.723076923076924</v>
      </c>
      <c r="H58" s="71">
        <f>+G58/'Entreprise Budget'!$C$6</f>
        <v>8.394283312316099E-2</v>
      </c>
      <c r="I58" s="71">
        <f>+'Entreprise Budget'!C72/'Entreprise Budget'!$C$14*100</f>
        <v>0.14486489651923293</v>
      </c>
      <c r="J58" s="72">
        <f t="shared" ref="J58:J63" si="1">+I58/$I$120</f>
        <v>1.1794704383375411E-2</v>
      </c>
    </row>
    <row r="59" spans="2:14" ht="15">
      <c r="B59" s="82"/>
      <c r="C59" s="33" t="s">
        <v>16</v>
      </c>
      <c r="D59" s="33"/>
      <c r="E59" s="22">
        <f>+'Entreprise Budget'!C73</f>
        <v>39869</v>
      </c>
      <c r="F59" s="23">
        <f>'Entreprise Budget'!C73/365</f>
        <v>109.23013698630137</v>
      </c>
      <c r="G59" s="23">
        <f>+'Entreprise Budget'!C73/'Entreprise Budget'!$C$44</f>
        <v>55.760839160839161</v>
      </c>
      <c r="H59" s="23">
        <f>+G59/'Entreprise Budget'!$C$6</f>
        <v>0.15235201956513433</v>
      </c>
      <c r="I59" s="23">
        <f>+'Entreprise Budget'!C73/'Entreprise Budget'!$C$14*100</f>
        <v>0.2629225000830927</v>
      </c>
      <c r="J59" s="74">
        <f t="shared" si="1"/>
        <v>2.140679515003388E-2</v>
      </c>
    </row>
    <row r="60" spans="2:14" ht="15">
      <c r="B60" s="82"/>
      <c r="C60" s="33" t="s">
        <v>17</v>
      </c>
      <c r="D60" s="33"/>
      <c r="E60" s="22">
        <f>+'Entreprise Budget'!C74</f>
        <v>47655</v>
      </c>
      <c r="F60" s="23">
        <f>'Entreprise Budget'!C74/365</f>
        <v>130.56164383561645</v>
      </c>
      <c r="G60" s="23">
        <f>+'Entreprise Budget'!C74/'Entreprise Budget'!$C$44</f>
        <v>66.650349650349654</v>
      </c>
      <c r="H60" s="23">
        <f>+G60/'Entreprise Budget'!$C$6</f>
        <v>0.18210478046543621</v>
      </c>
      <c r="I60" s="23">
        <f>+'Entreprise Budget'!C74/'Entreprise Budget'!$C$14*100</f>
        <v>0.31426852294915303</v>
      </c>
      <c r="J60" s="74">
        <f t="shared" si="1"/>
        <v>2.5587319041733288E-2</v>
      </c>
    </row>
    <row r="61" spans="2:14" ht="15">
      <c r="B61" s="82"/>
      <c r="C61" s="33" t="s">
        <v>18</v>
      </c>
      <c r="D61" s="33"/>
      <c r="E61" s="22">
        <f>+'Entreprise Budget'!C75</f>
        <v>9306</v>
      </c>
      <c r="F61" s="23">
        <f>'Entreprise Budget'!C75/365</f>
        <v>25.495890410958904</v>
      </c>
      <c r="G61" s="23">
        <f>+'Entreprise Budget'!C75/'Entreprise Budget'!$C$44</f>
        <v>13.015384615384615</v>
      </c>
      <c r="H61" s="23">
        <f>+G61/'Entreprise Budget'!$C$6</f>
        <v>3.5561160151324087E-2</v>
      </c>
      <c r="I61" s="23">
        <f>+'Entreprise Budget'!C75/'Entreprise Budget'!$C$14*100</f>
        <v>6.136990608676568E-2</v>
      </c>
      <c r="J61" s="74">
        <f t="shared" si="1"/>
        <v>4.9966549365726585E-3</v>
      </c>
    </row>
    <row r="62" spans="2:14" ht="15">
      <c r="B62" s="82"/>
      <c r="C62" s="33" t="s">
        <v>13</v>
      </c>
      <c r="D62" s="33"/>
      <c r="E62" s="22">
        <f>+'Entreprise Budget'!C76</f>
        <v>17305</v>
      </c>
      <c r="F62" s="23">
        <f>'Entreprise Budget'!C76/365</f>
        <v>47.410958904109592</v>
      </c>
      <c r="G62" s="23">
        <f>+'Entreprise Budget'!C76/'Entreprise Budget'!$C$44</f>
        <v>24.202797202797203</v>
      </c>
      <c r="H62" s="23">
        <f>+G62/'Entreprise Budget'!$C$6</f>
        <v>6.6127861209828429E-2</v>
      </c>
      <c r="I62" s="23">
        <f>+'Entreprise Budget'!C76/'Entreprise Budget'!$C$14*100</f>
        <v>0.1141205915357275</v>
      </c>
      <c r="J62" s="74">
        <f t="shared" si="1"/>
        <v>9.2915445602181224E-3</v>
      </c>
    </row>
    <row r="63" spans="2:14" ht="15.75">
      <c r="B63" s="83" t="s">
        <v>184</v>
      </c>
      <c r="C63" s="84"/>
      <c r="D63" s="93"/>
      <c r="E63" s="85">
        <f>+'Entreprise Budget'!C78</f>
        <v>136102</v>
      </c>
      <c r="F63" s="86">
        <f>'Entreprise Budget'!C78/365</f>
        <v>372.88219178082193</v>
      </c>
      <c r="G63" s="86">
        <f>+'Entreprise Budget'!C78/'Entreprise Budget'!$C$44</f>
        <v>190.35244755244756</v>
      </c>
      <c r="H63" s="86">
        <f>+G63/'Entreprise Budget'!$C$6</f>
        <v>0.52008865451488406</v>
      </c>
      <c r="I63" s="86">
        <f>+'Entreprise Budget'!C78/'Entreprise Budget'!$C$14*100</f>
        <v>0.89754641717397188</v>
      </c>
      <c r="J63" s="87">
        <f t="shared" si="1"/>
        <v>7.307701807193337E-2</v>
      </c>
    </row>
    <row r="64" spans="2:14" ht="15.75">
      <c r="B64" s="16"/>
      <c r="C64" s="16"/>
      <c r="E64" s="18"/>
      <c r="F64" s="19"/>
      <c r="G64" s="19"/>
      <c r="H64" s="19"/>
      <c r="I64" s="19"/>
      <c r="J64" s="28"/>
    </row>
    <row r="65" spans="2:10" ht="15.75">
      <c r="B65" s="16" t="s">
        <v>99</v>
      </c>
      <c r="C65" s="26"/>
      <c r="E65" s="22" t="s">
        <v>109</v>
      </c>
      <c r="F65" s="23" t="s">
        <v>21</v>
      </c>
      <c r="G65" s="23" t="s">
        <v>21</v>
      </c>
      <c r="H65" s="23"/>
      <c r="I65" s="23" t="s">
        <v>21</v>
      </c>
      <c r="J65" s="21"/>
    </row>
    <row r="66" spans="2:10" ht="15">
      <c r="B66" s="80"/>
      <c r="C66" s="81" t="s">
        <v>144</v>
      </c>
      <c r="D66" s="60"/>
      <c r="E66" s="70">
        <f>+'Entreprise Budget'!C81</f>
        <v>12488</v>
      </c>
      <c r="F66" s="71">
        <f>'Entreprise Budget'!C81/365</f>
        <v>34.213698630136989</v>
      </c>
      <c r="G66" s="71">
        <f>+'Entreprise Budget'!C81/'Entreprise Budget'!$C$44</f>
        <v>17.465734265734266</v>
      </c>
      <c r="H66" s="71">
        <f>+G66/'Entreprise Budget'!$C$6</f>
        <v>4.7720585425503462E-2</v>
      </c>
      <c r="I66" s="71">
        <f>+'Entreprise Budget'!C81/'Entreprise Budget'!$C$14*100</f>
        <v>8.235411425011066E-2</v>
      </c>
      <c r="J66" s="72">
        <f>+I66/$I$120</f>
        <v>6.705160847616522E-3</v>
      </c>
    </row>
    <row r="67" spans="2:10" ht="15">
      <c r="B67" s="82"/>
      <c r="C67" s="33" t="s">
        <v>22</v>
      </c>
      <c r="D67" s="62"/>
      <c r="E67" s="22">
        <f>+'Entreprise Budget'!C82</f>
        <v>11959</v>
      </c>
      <c r="F67" s="23">
        <f>'Entreprise Budget'!C82/365</f>
        <v>32.764383561643832</v>
      </c>
      <c r="G67" s="23">
        <f>+'Entreprise Budget'!C82/'Entreprise Budget'!$C$44</f>
        <v>16.725874125874125</v>
      </c>
      <c r="H67" s="23">
        <f>+G67/'Entreprise Budget'!$C$6</f>
        <v>4.5699109633535857E-2</v>
      </c>
      <c r="I67" s="23">
        <f>+'Entreprise Budget'!C82/'Entreprise Budget'!$C$14*100</f>
        <v>7.8865539102904655E-2</v>
      </c>
      <c r="J67" s="74">
        <f>+I67/$I$120</f>
        <v>6.4211257668678719E-3</v>
      </c>
    </row>
    <row r="68" spans="2:10" ht="15.75">
      <c r="B68" s="83" t="s">
        <v>44</v>
      </c>
      <c r="C68" s="84"/>
      <c r="D68" s="84"/>
      <c r="E68" s="85">
        <f>+'Entreprise Budget'!C83</f>
        <v>24447</v>
      </c>
      <c r="F68" s="86">
        <f>'Entreprise Budget'!C83/365</f>
        <v>66.978082191780828</v>
      </c>
      <c r="G68" s="86">
        <f>+'Entreprise Budget'!C83/'Entreprise Budget'!$C$44</f>
        <v>34.191608391608391</v>
      </c>
      <c r="H68" s="86">
        <f>+G68/'Entreprise Budget'!$C$6</f>
        <v>9.3419695059039312E-2</v>
      </c>
      <c r="I68" s="86">
        <f>+'Entreprise Budget'!C83/'Entreprise Budget'!$C$14*100</f>
        <v>0.16121965335301533</v>
      </c>
      <c r="J68" s="87">
        <f>+I68/$I$120</f>
        <v>1.3126286614484395E-2</v>
      </c>
    </row>
    <row r="69" spans="2:10" ht="15.75">
      <c r="E69" s="18"/>
      <c r="F69" s="19"/>
      <c r="G69" s="19"/>
      <c r="H69" s="19"/>
      <c r="I69" s="19"/>
      <c r="J69" s="28"/>
    </row>
    <row r="70" spans="2:10" ht="15.75">
      <c r="B70" s="16" t="s">
        <v>69</v>
      </c>
      <c r="C70" s="16"/>
      <c r="J70" s="28"/>
    </row>
    <row r="71" spans="2:10" ht="15.75">
      <c r="B71" s="80"/>
      <c r="C71" s="94" t="s">
        <v>23</v>
      </c>
      <c r="D71" s="52"/>
      <c r="E71" s="52"/>
      <c r="F71" s="52"/>
      <c r="G71" s="52"/>
      <c r="H71" s="52"/>
      <c r="I71" s="52"/>
      <c r="J71" s="95"/>
    </row>
    <row r="72" spans="2:10" ht="15">
      <c r="B72" s="82"/>
      <c r="C72" s="33" t="s">
        <v>35</v>
      </c>
      <c r="D72" s="62"/>
      <c r="E72" s="22">
        <f>+'Entreprise Budget'!C87</f>
        <v>46019</v>
      </c>
      <c r="F72" s="23">
        <f>'Entreprise Budget'!C87/365</f>
        <v>126.07945205479452</v>
      </c>
      <c r="G72" s="23">
        <f>+'Entreprise Budget'!C87/'Entreprise Budget'!$C$44</f>
        <v>64.362237762237768</v>
      </c>
      <c r="H72" s="23">
        <f>+G72/'Entreprise Budget'!$C$6</f>
        <v>0.1758531086399939</v>
      </c>
      <c r="I72" s="23">
        <f>+'Entreprise Budget'!C87/'Entreprise Budget'!$C$14*100</f>
        <v>0.30347965916686759</v>
      </c>
      <c r="J72" s="74">
        <f t="shared" ref="J72:J80" si="2">+I72/$I$120</f>
        <v>2.4708904311856562E-2</v>
      </c>
    </row>
    <row r="73" spans="2:10" ht="15">
      <c r="B73" s="82"/>
      <c r="C73" s="33" t="s">
        <v>317</v>
      </c>
      <c r="D73" s="62"/>
      <c r="E73" s="22">
        <f>+'Entreprise Budget'!C88</f>
        <v>0</v>
      </c>
      <c r="F73" s="23">
        <f>'Entreprise Budget'!C88/365</f>
        <v>0</v>
      </c>
      <c r="G73" s="23">
        <f>+'Entreprise Budget'!C88/'Entreprise Budget'!$C$44</f>
        <v>0</v>
      </c>
      <c r="H73" s="23">
        <f>+G73/'Entreprise Budget'!$C$6</f>
        <v>0</v>
      </c>
      <c r="I73" s="23">
        <f>+'Entreprise Budget'!C88/'Entreprise Budget'!$C$14*100</f>
        <v>0</v>
      </c>
      <c r="J73" s="74">
        <f t="shared" si="2"/>
        <v>0</v>
      </c>
    </row>
    <row r="74" spans="2:10" ht="15">
      <c r="B74" s="82"/>
      <c r="C74" s="33" t="s">
        <v>36</v>
      </c>
      <c r="D74" s="62"/>
      <c r="E74" s="22">
        <f>+'Entreprise Budget'!C89</f>
        <v>16758</v>
      </c>
      <c r="F74" s="23">
        <f>'Entreprise Budget'!C89/365</f>
        <v>45.912328767123284</v>
      </c>
      <c r="G74" s="23">
        <f>+'Entreprise Budget'!C89/'Entreprise Budget'!$C$44</f>
        <v>23.437762237762239</v>
      </c>
      <c r="H74" s="23">
        <f>+G74/'Entreprise Budget'!$C$6</f>
        <v>6.4037601742519781E-2</v>
      </c>
      <c r="I74" s="23">
        <f>+'Entreprise Budget'!C89/'Entreprise Budget'!$C$14*100</f>
        <v>0.11051331250827631</v>
      </c>
      <c r="J74" s="74">
        <f t="shared" si="2"/>
        <v>8.9978447697275539E-3</v>
      </c>
    </row>
    <row r="75" spans="2:10" ht="15">
      <c r="B75" s="82"/>
      <c r="C75" s="33" t="s">
        <v>45</v>
      </c>
      <c r="D75" s="62"/>
      <c r="E75" s="22">
        <f>+'Entreprise Budget'!C90</f>
        <v>0</v>
      </c>
      <c r="F75" s="23">
        <f>'Entreprise Budget'!C90/365</f>
        <v>0</v>
      </c>
      <c r="G75" s="23">
        <f>+'Entreprise Budget'!C90/'Entreprise Budget'!$C$44</f>
        <v>0</v>
      </c>
      <c r="H75" s="23">
        <f>+G75/'Entreprise Budget'!$C$6</f>
        <v>0</v>
      </c>
      <c r="I75" s="23">
        <f>+'Entreprise Budget'!C90/'Entreprise Budget'!$C$14*100</f>
        <v>0</v>
      </c>
      <c r="J75" s="74">
        <f t="shared" si="2"/>
        <v>0</v>
      </c>
    </row>
    <row r="76" spans="2:10" ht="15">
      <c r="B76" s="82"/>
      <c r="C76" s="33" t="s">
        <v>46</v>
      </c>
      <c r="D76" s="62"/>
      <c r="E76" s="22">
        <f>+'Entreprise Budget'!C91</f>
        <v>0</v>
      </c>
      <c r="F76" s="23">
        <f>'Entreprise Budget'!C91/365</f>
        <v>0</v>
      </c>
      <c r="G76" s="23">
        <f>+'Entreprise Budget'!C91/'Entreprise Budget'!$C$44</f>
        <v>0</v>
      </c>
      <c r="H76" s="23">
        <f>+G76/'Entreprise Budget'!$C$6</f>
        <v>0</v>
      </c>
      <c r="I76" s="23">
        <f>+'Entreprise Budget'!C91/'Entreprise Budget'!$C$14*100</f>
        <v>0</v>
      </c>
      <c r="J76" s="74">
        <f t="shared" si="2"/>
        <v>0</v>
      </c>
    </row>
    <row r="77" spans="2:10" ht="15">
      <c r="B77" s="82"/>
      <c r="C77" s="33" t="s">
        <v>26</v>
      </c>
      <c r="D77" s="62"/>
      <c r="E77" s="22">
        <f>+'Entreprise Budget'!C92</f>
        <v>10183</v>
      </c>
      <c r="F77" s="23">
        <f>'Entreprise Budget'!C92/365</f>
        <v>27.898630136986302</v>
      </c>
      <c r="G77" s="23">
        <f>+'Entreprise Budget'!C92/'Entreprise Budget'!$C$44</f>
        <v>14.241958041958043</v>
      </c>
      <c r="H77" s="23">
        <f>+G77/'Entreprise Budget'!$C$6</f>
        <v>3.8912453666552028E-2</v>
      </c>
      <c r="I77" s="23">
        <f>+'Entreprise Budget'!C92/'Entreprise Budget'!$C$14*100</f>
        <v>6.7153422918712111E-2</v>
      </c>
      <c r="J77" s="74">
        <f t="shared" si="2"/>
        <v>5.4675410723317615E-3</v>
      </c>
    </row>
    <row r="78" spans="2:10" ht="15">
      <c r="B78" s="82"/>
      <c r="C78" s="33" t="s">
        <v>27</v>
      </c>
      <c r="D78" s="62"/>
      <c r="E78" s="22">
        <f>+'Entreprise Budget'!C93</f>
        <v>18103</v>
      </c>
      <c r="F78" s="23">
        <f>'Entreprise Budget'!C93/365</f>
        <v>49.597260273972601</v>
      </c>
      <c r="G78" s="23">
        <f>+'Entreprise Budget'!C93/'Entreprise Budget'!$C$44</f>
        <v>25.318881118881119</v>
      </c>
      <c r="H78" s="23">
        <f>+G78/'Entreprise Budget'!$C$6</f>
        <v>6.917727081661508E-2</v>
      </c>
      <c r="I78" s="23">
        <f>+'Entreprise Budget'!C93/'Entreprise Budget'!$C$14*100</f>
        <v>0.11938313022659779</v>
      </c>
      <c r="J78" s="74">
        <f t="shared" si="2"/>
        <v>9.7200133587765757E-3</v>
      </c>
    </row>
    <row r="79" spans="2:10" ht="15">
      <c r="B79" s="82"/>
      <c r="C79" s="33" t="s">
        <v>354</v>
      </c>
      <c r="D79" s="62"/>
      <c r="E79" s="22">
        <f>+'Entreprise Budget'!C94</f>
        <v>9856</v>
      </c>
      <c r="F79" s="23">
        <f>'Entreprise Budget'!C94/365</f>
        <v>27.002739726027396</v>
      </c>
      <c r="G79" s="23">
        <f>+'Entreprise Budget'!C94/'Entreprise Budget'!$C$44</f>
        <v>13.784615384615385</v>
      </c>
      <c r="H79" s="23">
        <f>+G79/'Entreprise Budget'!$C$6</f>
        <v>3.7662883564522909E-2</v>
      </c>
      <c r="I79" s="23">
        <f>+'Entreprise Budget'!C94/'Entreprise Budget'!$C$14*100</f>
        <v>6.4996969094257742E-2</v>
      </c>
      <c r="J79" s="74">
        <f t="shared" si="2"/>
        <v>5.2919655120202145E-3</v>
      </c>
    </row>
    <row r="80" spans="2:10" ht="15.75">
      <c r="B80" s="83" t="s">
        <v>100</v>
      </c>
      <c r="C80" s="84"/>
      <c r="D80" s="84"/>
      <c r="E80" s="85">
        <f>+'Entreprise Budget'!C95</f>
        <v>100919</v>
      </c>
      <c r="F80" s="86">
        <f>'Entreprise Budget'!C95/365</f>
        <v>276.49041095890414</v>
      </c>
      <c r="G80" s="86">
        <f>+'Entreprise Budget'!C95/'Entreprise Budget'!$C$44</f>
        <v>141.14545454545456</v>
      </c>
      <c r="H80" s="86">
        <f>+G80/'Entreprise Budget'!$C$6</f>
        <v>0.38564331843020372</v>
      </c>
      <c r="I80" s="86">
        <f>+'Entreprise Budget'!C95/'Entreprise Budget'!$C$14*100</f>
        <v>0.66552649391471153</v>
      </c>
      <c r="J80" s="87">
        <f t="shared" si="2"/>
        <v>5.4186269024712665E-2</v>
      </c>
    </row>
    <row r="81" spans="2:10" ht="15.75">
      <c r="B81" s="16"/>
      <c r="C81" s="26"/>
      <c r="J81" s="28"/>
    </row>
    <row r="82" spans="2:10" ht="15.75">
      <c r="B82" s="16" t="s">
        <v>28</v>
      </c>
      <c r="C82" s="26"/>
      <c r="J82" s="28"/>
    </row>
    <row r="83" spans="2:10" ht="15">
      <c r="B83" s="80"/>
      <c r="C83" s="81" t="s">
        <v>29</v>
      </c>
      <c r="D83" s="60"/>
      <c r="E83" s="70">
        <f>+'Entreprise Budget'!C98</f>
        <v>12815</v>
      </c>
      <c r="F83" s="71">
        <f>'Entreprise Budget'!C98/365</f>
        <v>35.109589041095887</v>
      </c>
      <c r="G83" s="71">
        <f>+'Entreprise Budget'!C98/'Entreprise Budget'!$C$44</f>
        <v>17.923076923076923</v>
      </c>
      <c r="H83" s="71">
        <f>+G83/'Entreprise Budget'!$C$6</f>
        <v>4.8970155527532575E-2</v>
      </c>
      <c r="I83" s="71">
        <f>+'Entreprise Budget'!C98/'Entreprise Budget'!$C$14*100</f>
        <v>8.4510568074565029E-2</v>
      </c>
      <c r="J83" s="72">
        <f>+I83/$I$120</f>
        <v>6.8807364079280691E-3</v>
      </c>
    </row>
    <row r="84" spans="2:10" ht="15">
      <c r="B84" s="82"/>
      <c r="C84" s="33" t="s">
        <v>30</v>
      </c>
      <c r="D84" s="62"/>
      <c r="E84" s="22">
        <f>+'Entreprise Budget'!C99</f>
        <v>5921</v>
      </c>
      <c r="F84" s="23">
        <f>'Entreprise Budget'!C99/365</f>
        <v>16.221917808219178</v>
      </c>
      <c r="G84" s="23">
        <f>+'Entreprise Budget'!C99/'Entreprise Budget'!$C$44</f>
        <v>8.2811188811188803</v>
      </c>
      <c r="H84" s="23">
        <f>+G84/'Entreprise Budget'!$C$6</f>
        <v>2.262600787190951E-2</v>
      </c>
      <c r="I84" s="23">
        <f>+'Entreprise Budget'!C99/'Entreprise Budget'!$C$14*100</f>
        <v>3.9046981940655444E-2</v>
      </c>
      <c r="J84" s="74">
        <f>+I84/$I$120</f>
        <v>3.1791525767726958E-3</v>
      </c>
    </row>
    <row r="85" spans="2:10" ht="15">
      <c r="B85" s="82"/>
      <c r="C85" s="33" t="s">
        <v>31</v>
      </c>
      <c r="D85" s="62"/>
      <c r="E85" s="22">
        <f>+'Entreprise Budget'!C100</f>
        <v>20176</v>
      </c>
      <c r="F85" s="23">
        <f>'Entreprise Budget'!C100/365</f>
        <v>55.276712328767125</v>
      </c>
      <c r="G85" s="23">
        <f>+'Entreprise Budget'!C100/'Entreprise Budget'!$C$44</f>
        <v>28.218181818181819</v>
      </c>
      <c r="H85" s="23">
        <f>+G85/'Entreprise Budget'!$C$6</f>
        <v>7.7098857426726286E-2</v>
      </c>
      <c r="I85" s="23">
        <f>+'Entreprise Budget'!C100/'Entreprise Budget'!$C$14*100</f>
        <v>0.13305386043483605</v>
      </c>
      <c r="J85" s="74">
        <f>+I85/$I$120</f>
        <v>1.0833065764054368E-2</v>
      </c>
    </row>
    <row r="86" spans="2:10" ht="15">
      <c r="B86" s="82"/>
      <c r="C86" s="33" t="s">
        <v>32</v>
      </c>
      <c r="D86" s="62"/>
      <c r="E86" s="22">
        <f>+'Entreprise Budget'!C101</f>
        <v>2939</v>
      </c>
      <c r="F86" s="23">
        <f>'Entreprise Budget'!C101/365</f>
        <v>8.0520547945205472</v>
      </c>
      <c r="G86" s="23">
        <f>+'Entreprise Budget'!C101/'Entreprise Budget'!$C$44</f>
        <v>4.1104895104895105</v>
      </c>
      <c r="H86" s="23">
        <f>+G86/'Entreprise Budget'!$C$6</f>
        <v>1.1230845657075165E-2</v>
      </c>
      <c r="I86" s="23">
        <f>+'Entreprise Budget'!C101/'Entreprise Budget'!$C$14*100</f>
        <v>1.9381705780034852E-2</v>
      </c>
      <c r="J86" s="74">
        <f>+I86/$I$120</f>
        <v>1.5780323295279434E-3</v>
      </c>
    </row>
    <row r="87" spans="2:10" ht="15.75">
      <c r="B87" s="83" t="s">
        <v>101</v>
      </c>
      <c r="C87" s="84"/>
      <c r="D87" s="84"/>
      <c r="E87" s="85">
        <f>+'Entreprise Budget'!C102</f>
        <v>41851</v>
      </c>
      <c r="F87" s="86">
        <f>'Entreprise Budget'!C102/365</f>
        <v>114.66027397260274</v>
      </c>
      <c r="G87" s="86">
        <f>+'Entreprise Budget'!C102/'Entreprise Budget'!$C$44</f>
        <v>58.532867132867132</v>
      </c>
      <c r="H87" s="86">
        <f>+G87/'Entreprise Budget'!$C$6</f>
        <v>0.15992586648324353</v>
      </c>
      <c r="I87" s="86">
        <f>+'Entreprise Budget'!C102/'Entreprise Budget'!$C$14*100</f>
        <v>0.27599311623009137</v>
      </c>
      <c r="J87" s="87">
        <f>+I87/$I$120</f>
        <v>2.2470987078283076E-2</v>
      </c>
    </row>
    <row r="88" spans="2:10" ht="15.75">
      <c r="B88" s="16"/>
      <c r="C88" s="26"/>
      <c r="J88" s="28"/>
    </row>
    <row r="89" spans="2:10" ht="15.75">
      <c r="B89" s="16" t="s">
        <v>34</v>
      </c>
      <c r="C89" s="26"/>
      <c r="J89" s="28"/>
    </row>
    <row r="90" spans="2:10" ht="15">
      <c r="B90" s="80"/>
      <c r="C90" s="81" t="s">
        <v>35</v>
      </c>
      <c r="D90" s="60"/>
      <c r="E90" s="70">
        <f>+'Entreprise Budget'!C105</f>
        <v>21152</v>
      </c>
      <c r="F90" s="71">
        <f>'Entreprise Budget'!C105/365</f>
        <v>57.950684931506849</v>
      </c>
      <c r="G90" s="71">
        <f>+'Entreprise Budget'!C105/'Entreprise Budget'!$C$44</f>
        <v>29.583216783216784</v>
      </c>
      <c r="H90" s="71">
        <f>+G90/'Entreprise Budget'!$C$6</f>
        <v>8.0828461156330009E-2</v>
      </c>
      <c r="I90" s="71">
        <f>+'Entreprise Budget'!C105/'Entreprise Budget'!$C$14*100</f>
        <v>0.13949024860813106</v>
      </c>
      <c r="J90" s="72">
        <f>+I90/$I$120</f>
        <v>1.1357107803394032E-2</v>
      </c>
    </row>
    <row r="91" spans="2:10" ht="15">
      <c r="B91" s="82"/>
      <c r="C91" s="33" t="s">
        <v>36</v>
      </c>
      <c r="D91" s="62"/>
      <c r="E91" s="22">
        <f>+'Entreprise Budget'!C106</f>
        <v>37959</v>
      </c>
      <c r="F91" s="23">
        <f>'Entreprise Budget'!C106/365</f>
        <v>103.9972602739726</v>
      </c>
      <c r="G91" s="23">
        <f>+'Entreprise Budget'!C106/'Entreprise Budget'!$C$44</f>
        <v>53.089510489510488</v>
      </c>
      <c r="H91" s="23">
        <f>+G91/'Entreprise Budget'!$C$6</f>
        <v>0.14505330734838931</v>
      </c>
      <c r="I91" s="23">
        <f>+'Entreprise Budget'!C106/'Entreprise Budget'!$C$14*100</f>
        <v>0.25032669945707481</v>
      </c>
      <c r="J91" s="74">
        <f>+I91/$I$120</f>
        <v>2.0381262060752366E-2</v>
      </c>
    </row>
    <row r="92" spans="2:10" ht="15.75">
      <c r="B92" s="83" t="s">
        <v>102</v>
      </c>
      <c r="C92" s="84"/>
      <c r="D92" s="84"/>
      <c r="E92" s="85">
        <f>+'Entreprise Budget'!C107</f>
        <v>59111</v>
      </c>
      <c r="F92" s="86">
        <f>'Entreprise Budget'!C107/365</f>
        <v>161.94794520547944</v>
      </c>
      <c r="G92" s="86">
        <f>+'Entreprise Budget'!C107/'Entreprise Budget'!$C$44</f>
        <v>82.672727272727272</v>
      </c>
      <c r="H92" s="86">
        <f>+G92/'Entreprise Budget'!$C$6</f>
        <v>0.22588176850471933</v>
      </c>
      <c r="I92" s="86">
        <f>+'Entreprise Budget'!C107/'Entreprise Budget'!$C$14*100</f>
        <v>0.38981694806520589</v>
      </c>
      <c r="J92" s="87">
        <f>+I92/$I$120</f>
        <v>3.1738369864146396E-2</v>
      </c>
    </row>
    <row r="93" spans="2:10" ht="15.75">
      <c r="B93" s="16"/>
      <c r="C93" s="26"/>
      <c r="J93" s="28"/>
    </row>
    <row r="94" spans="2:10" ht="15.75">
      <c r="B94" s="16" t="s">
        <v>38</v>
      </c>
      <c r="C94" s="26"/>
      <c r="J94" s="28"/>
    </row>
    <row r="95" spans="2:10" ht="15">
      <c r="B95" s="80"/>
      <c r="C95" s="81" t="s">
        <v>39</v>
      </c>
      <c r="D95" s="52"/>
      <c r="E95" s="70" t="s">
        <v>84</v>
      </c>
      <c r="F95" s="71" t="s">
        <v>21</v>
      </c>
      <c r="G95" s="71" t="s">
        <v>84</v>
      </c>
      <c r="H95" s="71"/>
      <c r="I95" s="71" t="s">
        <v>110</v>
      </c>
      <c r="J95" s="72"/>
    </row>
    <row r="96" spans="2:10" ht="15">
      <c r="B96" s="82"/>
      <c r="C96" s="33" t="s">
        <v>40</v>
      </c>
      <c r="D96" s="62"/>
      <c r="E96" s="22">
        <f>+'Entreprise Budget'!C111</f>
        <v>191493</v>
      </c>
      <c r="F96" s="23">
        <f>'Entreprise Budget'!C111/365</f>
        <v>524.63835616438359</v>
      </c>
      <c r="G96" s="23">
        <f>+'Entreprise Budget'!C111/'Entreprise Budget'!$C$44</f>
        <v>267.82237762237764</v>
      </c>
      <c r="H96" s="23">
        <f>+G96/'Entreprise Budget'!$C$6</f>
        <v>0.73175513011578597</v>
      </c>
      <c r="I96" s="23">
        <f>+'Entreprise Budget'!C111/'Entreprise Budget'!$C$14*100</f>
        <v>1.2628312299885041</v>
      </c>
      <c r="J96" s="74">
        <f>+I96/$I$120</f>
        <v>0.10281801458941628</v>
      </c>
    </row>
    <row r="97" spans="2:10" ht="15">
      <c r="B97" s="82"/>
      <c r="C97" s="33" t="s">
        <v>41</v>
      </c>
      <c r="D97" s="62"/>
      <c r="E97" s="22">
        <f>+'Entreprise Budget'!C112</f>
        <v>50465</v>
      </c>
      <c r="F97" s="23">
        <f>'Entreprise Budget'!C112/365</f>
        <v>138.26027397260273</v>
      </c>
      <c r="G97" s="23">
        <f>+'Entreprise Budget'!C112/'Entreprise Budget'!$C$44</f>
        <v>70.580419580419587</v>
      </c>
      <c r="H97" s="23">
        <f>+G97/'Entreprise Budget'!$C$6</f>
        <v>0.19284267644923384</v>
      </c>
      <c r="I97" s="23">
        <f>+'Entreprise Budget'!C112/'Entreprise Budget'!$C$14*100</f>
        <v>0.33279951758743065</v>
      </c>
      <c r="J97" s="74">
        <f>+I97/$I$120</f>
        <v>2.7096087618110807E-2</v>
      </c>
    </row>
    <row r="98" spans="2:10" ht="15">
      <c r="B98" s="82"/>
      <c r="C98" s="33" t="s">
        <v>42</v>
      </c>
      <c r="D98" s="62"/>
      <c r="E98" s="22">
        <f>+'Entreprise Budget'!C113</f>
        <v>28964</v>
      </c>
      <c r="F98" s="23">
        <f>'Entreprise Budget'!C113/365</f>
        <v>79.353424657534248</v>
      </c>
      <c r="G98" s="23">
        <f>+'Entreprise Budget'!C113/'Entreprise Budget'!$C$44</f>
        <v>40.509090909090908</v>
      </c>
      <c r="H98" s="23">
        <f>+G98/'Entreprise Budget'!$C$6</f>
        <v>0.11068057625434674</v>
      </c>
      <c r="I98" s="23">
        <f>+'Entreprise Budget'!C113/'Entreprise Budget'!$C$14*100</f>
        <v>0.19100773263454557</v>
      </c>
      <c r="J98" s="74">
        <f>+I98/$I$120</f>
        <v>1.5551591831387327E-2</v>
      </c>
    </row>
    <row r="99" spans="2:10" ht="15">
      <c r="B99" s="82"/>
      <c r="C99" s="33" t="s">
        <v>36</v>
      </c>
      <c r="D99" s="62"/>
      <c r="E99" s="22">
        <f>+'Entreprise Budget'!C114</f>
        <v>0</v>
      </c>
      <c r="F99" s="23">
        <f>'Entreprise Budget'!C114/365</f>
        <v>0</v>
      </c>
      <c r="G99" s="23">
        <f>+'Entreprise Budget'!C114/'Entreprise Budget'!$C$44</f>
        <v>0</v>
      </c>
      <c r="H99" s="23">
        <f>+G99/'Entreprise Budget'!$C$6</f>
        <v>0</v>
      </c>
      <c r="I99" s="23">
        <f>+'Entreprise Budget'!C114/'Entreprise Budget'!$C$14*100</f>
        <v>0</v>
      </c>
      <c r="J99" s="74">
        <f>+I99/$I$120</f>
        <v>0</v>
      </c>
    </row>
    <row r="100" spans="2:10" ht="15.75">
      <c r="B100" s="83" t="s">
        <v>43</v>
      </c>
      <c r="C100" s="84"/>
      <c r="D100" s="84"/>
      <c r="E100" s="85">
        <f>+'Entreprise Budget'!C115</f>
        <v>270922</v>
      </c>
      <c r="F100" s="86">
        <f>'Entreprise Budget'!C115/365</f>
        <v>742.25205479452052</v>
      </c>
      <c r="G100" s="86">
        <f>+'Entreprise Budget'!C115/'Entreprise Budget'!$C$44</f>
        <v>378.91188811188812</v>
      </c>
      <c r="H100" s="86">
        <f>+G100/'Entreprise Budget'!$C$6</f>
        <v>1.0352783828193663</v>
      </c>
      <c r="I100" s="86">
        <f>+'Entreprise Budget'!C115/'Entreprise Budget'!$C$14*100</f>
        <v>1.7866384802104804</v>
      </c>
      <c r="J100" s="87">
        <f>+I100/$I$120</f>
        <v>0.14546569403891443</v>
      </c>
    </row>
    <row r="101" spans="2:10" ht="15.75">
      <c r="B101" s="16"/>
      <c r="C101" s="26"/>
      <c r="J101" s="28"/>
    </row>
    <row r="102" spans="2:10" ht="15.75">
      <c r="B102" s="16" t="s">
        <v>48</v>
      </c>
      <c r="C102" s="26"/>
      <c r="J102" s="28"/>
    </row>
    <row r="103" spans="2:10" ht="15.75">
      <c r="B103" s="88"/>
      <c r="C103" s="33" t="str">
        <f>'Entreprise Budget'!B118</f>
        <v>Interest, Operating (short term)</v>
      </c>
      <c r="D103" s="60"/>
      <c r="E103" s="70">
        <f>+'Entreprise Budget'!C118</f>
        <v>88279</v>
      </c>
      <c r="F103" s="71">
        <f>'Entreprise Budget'!C118/365</f>
        <v>241.86027397260273</v>
      </c>
      <c r="G103" s="71">
        <f>+'Entreprise Budget'!C118/'Entreprise Budget'!$C$44</f>
        <v>123.46713286713286</v>
      </c>
      <c r="H103" s="71">
        <f>+G103/'Entreprise Budget'!$C$6</f>
        <v>0.337341893079598</v>
      </c>
      <c r="I103" s="71">
        <f>+'Entreprise Budget'!C118/'Entreprise Budget'!$C$14*100</f>
        <v>0.58216999134253034</v>
      </c>
      <c r="J103" s="72">
        <f>+I103/$I$120</f>
        <v>4.7399495072608822E-2</v>
      </c>
    </row>
    <row r="104" spans="2:10" ht="15">
      <c r="B104" s="82"/>
      <c r="C104" s="33" t="str">
        <f>'Entreprise Budget'!B119</f>
        <v>Interest, Intermediate</v>
      </c>
      <c r="D104" s="62"/>
      <c r="E104" s="22">
        <f>+'Entreprise Budget'!C119</f>
        <v>44078</v>
      </c>
      <c r="F104" s="23">
        <f>'Entreprise Budget'!C119/365</f>
        <v>120.76164383561644</v>
      </c>
      <c r="G104" s="23">
        <f>+'Entreprise Budget'!C119/'Entreprise Budget'!$C$44</f>
        <v>61.647552447552449</v>
      </c>
      <c r="H104" s="23">
        <f>+G104/'Entreprise Budget'!$C$6</f>
        <v>0.16843593564905041</v>
      </c>
      <c r="I104" s="23">
        <f>+'Entreprise Budget'!C119/'Entreprise Budget'!$C$14*100</f>
        <v>0.29067942408042746</v>
      </c>
      <c r="J104" s="74">
        <f>+I104/$I$120</f>
        <v>2.3666726444686186E-2</v>
      </c>
    </row>
    <row r="105" spans="2:10" ht="15">
      <c r="B105" s="82"/>
      <c r="C105" s="33" t="str">
        <f>'Entreprise Budget'!B120</f>
        <v>Interest Long Term</v>
      </c>
      <c r="D105" s="62"/>
      <c r="E105" s="22">
        <f>+'Entreprise Budget'!C120</f>
        <v>44159</v>
      </c>
      <c r="F105" s="23">
        <f>'Entreprise Budget'!C120/365</f>
        <v>120.98356164383561</v>
      </c>
      <c r="G105" s="23">
        <f>+'Entreprise Budget'!C120/'Entreprise Budget'!$C$44</f>
        <v>61.760839160839161</v>
      </c>
      <c r="H105" s="23">
        <f>+G105/'Entreprise Budget'!$C$6</f>
        <v>0.16874546218808514</v>
      </c>
      <c r="I105" s="23">
        <f>+'Entreprise Budget'!C120/'Entreprise Budget'!$C$14*100</f>
        <v>0.29121359154153081</v>
      </c>
      <c r="J105" s="74">
        <f>+I105/$I$120</f>
        <v>2.3710217638524825E-2</v>
      </c>
    </row>
    <row r="106" spans="2:10" ht="15.75">
      <c r="B106" s="83" t="s">
        <v>73</v>
      </c>
      <c r="C106" s="84"/>
      <c r="D106" s="84"/>
      <c r="E106" s="85">
        <f>+'Entreprise Budget'!C121</f>
        <v>176516</v>
      </c>
      <c r="F106" s="86">
        <f>'Entreprise Budget'!C121/365</f>
        <v>483.60547945205479</v>
      </c>
      <c r="G106" s="86">
        <f>+'Entreprise Budget'!C121/'Entreprise Budget'!$C$44</f>
        <v>246.87552447552449</v>
      </c>
      <c r="H106" s="86">
        <f>+G106/'Entreprise Budget'!$C$6</f>
        <v>0.67452329091673358</v>
      </c>
      <c r="I106" s="86">
        <f>+'Entreprise Budget'!C121/'Entreprise Budget'!$C$14*100</f>
        <v>1.1640630069644886</v>
      </c>
      <c r="J106" s="87">
        <f>+I106/$I$120</f>
        <v>9.4776439155819833E-2</v>
      </c>
    </row>
    <row r="107" spans="2:10" ht="15.75">
      <c r="B107" s="16"/>
      <c r="C107" s="26"/>
      <c r="J107" s="28"/>
    </row>
    <row r="108" spans="2:10" ht="15.75">
      <c r="B108" s="16" t="s">
        <v>49</v>
      </c>
      <c r="C108" s="26"/>
      <c r="J108" s="28"/>
    </row>
    <row r="109" spans="2:10" ht="15">
      <c r="B109" s="80"/>
      <c r="C109" s="81" t="s">
        <v>72</v>
      </c>
      <c r="D109" s="60"/>
      <c r="E109" s="70">
        <f>+'Entreprise Budget'!C124</f>
        <v>4654</v>
      </c>
      <c r="F109" s="71">
        <f>'Entreprise Budget'!C124/365</f>
        <v>12.75068493150685</v>
      </c>
      <c r="G109" s="71">
        <f>+'Entreprise Budget'!C124/'Entreprise Budget'!$C$44</f>
        <v>6.5090909090909088</v>
      </c>
      <c r="H109" s="71">
        <f>+G109/'Entreprise Budget'!$C$6</f>
        <v>1.7784401390958767E-2</v>
      </c>
      <c r="I109" s="71">
        <f>+'Entreprise Budget'!C124/'Entreprise Budget'!$C$14*100</f>
        <v>3.0691547703396462E-2</v>
      </c>
      <c r="J109" s="72">
        <f t="shared" ref="J109:J115" si="3">+I109/$I$120</f>
        <v>2.4988643966053245E-3</v>
      </c>
    </row>
    <row r="110" spans="2:10" ht="15">
      <c r="B110" s="82"/>
      <c r="C110" s="33" t="s">
        <v>50</v>
      </c>
      <c r="D110" s="62"/>
      <c r="E110" s="22">
        <f>+'Entreprise Budget'!C125</f>
        <v>8899</v>
      </c>
      <c r="F110" s="23">
        <f>'Entreprise Budget'!C125/365</f>
        <v>24.38082191780822</v>
      </c>
      <c r="G110" s="23">
        <f>+'Entreprise Budget'!C125/'Entreprise Budget'!$C$44</f>
        <v>12.446153846153846</v>
      </c>
      <c r="H110" s="23">
        <f>+G110/'Entreprise Budget'!$C$6</f>
        <v>3.4005884825556956E-2</v>
      </c>
      <c r="I110" s="23">
        <f>+'Entreprise Budget'!C125/'Entreprise Budget'!$C$14*100</f>
        <v>5.8685879461221557E-2</v>
      </c>
      <c r="J110" s="74">
        <f t="shared" si="3"/>
        <v>4.7781251107414666E-3</v>
      </c>
    </row>
    <row r="111" spans="2:10" ht="15">
      <c r="B111" s="82"/>
      <c r="C111" s="33" t="s">
        <v>51</v>
      </c>
      <c r="D111" s="62"/>
      <c r="E111" s="22">
        <f>+'Entreprise Budget'!C126</f>
        <v>24200</v>
      </c>
      <c r="F111" s="23">
        <f>'Entreprise Budget'!C126/365</f>
        <v>66.301369863013704</v>
      </c>
      <c r="G111" s="23">
        <f>+'Entreprise Budget'!C126/'Entreprise Budget'!$C$44</f>
        <v>33.846153846153847</v>
      </c>
      <c r="H111" s="23">
        <f>+G111/'Entreprise Budget'!$C$6</f>
        <v>9.2475830180748217E-2</v>
      </c>
      <c r="I111" s="23">
        <f>+'Entreprise Budget'!C126/'Entreprise Budget'!$C$14*100</f>
        <v>0.15959077232965072</v>
      </c>
      <c r="J111" s="74">
        <f t="shared" si="3"/>
        <v>1.2993665319692493E-2</v>
      </c>
    </row>
    <row r="112" spans="2:10" ht="15">
      <c r="B112" s="82"/>
      <c r="C112" s="33" t="s">
        <v>103</v>
      </c>
      <c r="D112" s="62"/>
      <c r="E112" s="22">
        <f>+'Entreprise Budget'!C127</f>
        <v>0</v>
      </c>
      <c r="F112" s="23">
        <f>'Entreprise Budget'!C127/365</f>
        <v>0</v>
      </c>
      <c r="G112" s="23">
        <f>+'Entreprise Budget'!C127/'Entreprise Budget'!$C$44</f>
        <v>0</v>
      </c>
      <c r="H112" s="23">
        <f>+G112/'Entreprise Budget'!$C$6</f>
        <v>0</v>
      </c>
      <c r="I112" s="23">
        <f>+'Entreprise Budget'!C127/'Entreprise Budget'!$C$14*100</f>
        <v>0</v>
      </c>
      <c r="J112" s="74">
        <f t="shared" si="3"/>
        <v>0</v>
      </c>
    </row>
    <row r="113" spans="2:10" ht="15">
      <c r="B113" s="82"/>
      <c r="C113" s="33" t="s">
        <v>104</v>
      </c>
      <c r="D113" s="62"/>
      <c r="E113" s="22">
        <f>+'Entreprise Budget'!C128</f>
        <v>0</v>
      </c>
      <c r="F113" s="23">
        <f>'Entreprise Budget'!C128/365</f>
        <v>0</v>
      </c>
      <c r="G113" s="23">
        <f>+'Entreprise Budget'!C128/'Entreprise Budget'!$C$44</f>
        <v>0</v>
      </c>
      <c r="H113" s="23">
        <f>+G113/'Entreprise Budget'!$C$6</f>
        <v>0</v>
      </c>
      <c r="I113" s="23">
        <f>+'Entreprise Budget'!C128/'Entreprise Budget'!$C$14*100</f>
        <v>0</v>
      </c>
      <c r="J113" s="74">
        <f t="shared" si="3"/>
        <v>0</v>
      </c>
    </row>
    <row r="114" spans="2:10" ht="15">
      <c r="B114" s="82"/>
      <c r="C114" s="33" t="s">
        <v>59</v>
      </c>
      <c r="D114" s="62"/>
      <c r="E114" s="22">
        <f>+'Entreprise Budget'!C129</f>
        <v>7356</v>
      </c>
      <c r="F114" s="23">
        <f>'Entreprise Budget'!C129/365</f>
        <v>20.153424657534245</v>
      </c>
      <c r="G114" s="23">
        <f>+'Entreprise Budget'!C129/'Entreprise Budget'!$C$44</f>
        <v>10.288111888111889</v>
      </c>
      <c r="H114" s="23">
        <f>+G114/'Entreprise Budget'!$C$6</f>
        <v>2.8109595322710079E-2</v>
      </c>
      <c r="I114" s="23">
        <f>+'Entreprise Budget'!C129/'Entreprise Budget'!$C$14*100</f>
        <v>4.8510319060202915E-2</v>
      </c>
      <c r="J114" s="74">
        <f t="shared" si="3"/>
        <v>3.9496447145313208E-3</v>
      </c>
    </row>
    <row r="115" spans="2:10" ht="15.75">
      <c r="B115" s="83" t="s">
        <v>71</v>
      </c>
      <c r="C115" s="84"/>
      <c r="D115" s="84"/>
      <c r="E115" s="85">
        <f>+'Entreprise Budget'!C130</f>
        <v>45109</v>
      </c>
      <c r="F115" s="86">
        <f>'Entreprise Budget'!C130/365</f>
        <v>123.58630136986301</v>
      </c>
      <c r="G115" s="86">
        <f>+'Entreprise Budget'!C130/'Entreprise Budget'!$C$44</f>
        <v>63.089510489510488</v>
      </c>
      <c r="H115" s="86">
        <f>+G115/'Entreprise Budget'!$C$6</f>
        <v>0.17237571171997401</v>
      </c>
      <c r="I115" s="86">
        <f>+'Entreprise Budget'!C130/'Entreprise Budget'!$C$14*100</f>
        <v>0.2974785185544716</v>
      </c>
      <c r="J115" s="87">
        <f t="shared" si="3"/>
        <v>2.4220299541570602E-2</v>
      </c>
    </row>
    <row r="116" spans="2:10">
      <c r="J116" s="28"/>
    </row>
    <row r="117" spans="2:10" ht="15.75">
      <c r="B117" s="16" t="s">
        <v>74</v>
      </c>
      <c r="C117" s="26"/>
      <c r="J117" s="28"/>
    </row>
    <row r="118" spans="2:10" ht="15.75">
      <c r="B118" s="96"/>
      <c r="C118" s="97" t="s">
        <v>187</v>
      </c>
      <c r="D118" s="98"/>
      <c r="E118" s="99">
        <f>+'Entreprise Budget'!C133</f>
        <v>122642</v>
      </c>
      <c r="F118" s="100">
        <f>'Entreprise Budget'!C133/365</f>
        <v>336.00547945205477</v>
      </c>
      <c r="G118" s="100">
        <f>+'Entreprise Budget'!C133/'Entreprise Budget'!$C$44</f>
        <v>171.52727272727273</v>
      </c>
      <c r="H118" s="100">
        <f>+G118/'Entreprise Budget'!$C$6</f>
        <v>0.46865375062096376</v>
      </c>
      <c r="I118" s="101">
        <f>+'Entreprise Budget'!C133/'Entreprise Budget'!$C$14*100</f>
        <v>0.80878229339062069</v>
      </c>
      <c r="J118" s="21"/>
    </row>
    <row r="119" spans="2:10">
      <c r="E119" s="22"/>
      <c r="F119" s="23"/>
      <c r="G119" s="23"/>
      <c r="H119" s="23"/>
      <c r="I119" s="23"/>
      <c r="J119" s="21"/>
    </row>
    <row r="120" spans="2:10" ht="15.75">
      <c r="B120" s="344" t="s">
        <v>105</v>
      </c>
      <c r="C120" s="345"/>
      <c r="D120" s="345"/>
      <c r="E120" s="346">
        <f>+'Entreprise Budget'!C135</f>
        <v>1862446</v>
      </c>
      <c r="F120" s="347">
        <f>'Entreprise Budget'!C135/365</f>
        <v>5102.5917808219174</v>
      </c>
      <c r="G120" s="347">
        <f>+'Entreprise Budget'!C135/'Entreprise Budget'!$C$44</f>
        <v>2604.8195804195802</v>
      </c>
      <c r="H120" s="347">
        <f>+G120/'Entreprise Budget'!$C$6</f>
        <v>7.1169933891245361</v>
      </c>
      <c r="I120" s="349">
        <f>+'Entreprise Budget'!C135/'Entreprise Budget'!$C$14*100</f>
        <v>12.282198163730108</v>
      </c>
      <c r="J120" s="348">
        <f>+I120/+I120</f>
        <v>1</v>
      </c>
    </row>
    <row r="121" spans="2:10" ht="16.5" thickBot="1">
      <c r="B121" s="103" t="s">
        <v>106</v>
      </c>
      <c r="C121" s="103"/>
      <c r="D121" s="104"/>
      <c r="E121" s="105">
        <f>+'Entreprise Budget'!C136</f>
        <v>1985088</v>
      </c>
      <c r="F121" s="106">
        <f>'Entreprise Budget'!C136/365</f>
        <v>5438.597260273973</v>
      </c>
      <c r="G121" s="106">
        <f>+'Entreprise Budget'!C136/'Entreprise Budget'!$C$44</f>
        <v>2776.3468531468529</v>
      </c>
      <c r="H121" s="106">
        <f>+G121/'Entreprise Budget'!$C$6</f>
        <v>7.5856471397454994</v>
      </c>
      <c r="I121" s="106">
        <f>+'Entreprise Budget'!C136/'Entreprise Budget'!$C$14*100</f>
        <v>13.090980457120729</v>
      </c>
      <c r="J121" s="28"/>
    </row>
    <row r="122" spans="2:10" ht="13.5" thickTop="1"/>
    <row r="123" spans="2:10" ht="16.5" thickBot="1">
      <c r="B123" s="107" t="s">
        <v>75</v>
      </c>
      <c r="C123" s="107"/>
      <c r="D123" s="108"/>
      <c r="E123" s="109">
        <f>+E36-E120</f>
        <v>562892</v>
      </c>
      <c r="F123" s="110">
        <f>+E123/365</f>
        <v>1542.1698630136987</v>
      </c>
      <c r="G123" s="110">
        <f>+E123/'Entreprise Budget'!$C$44</f>
        <v>787.26153846153841</v>
      </c>
      <c r="H123" s="110">
        <f>+G123/'Entreprise Budget'!$C$6</f>
        <v>2.1509878100042035</v>
      </c>
      <c r="I123" s="110">
        <f>+E123/'Entreprise Budget'!$C$14*100</f>
        <v>3.7120813643876751</v>
      </c>
    </row>
    <row r="124" spans="2:10" ht="17.25" thickTop="1" thickBot="1">
      <c r="B124" s="107" t="s">
        <v>76</v>
      </c>
      <c r="C124" s="107"/>
      <c r="D124" s="108"/>
      <c r="E124" s="109">
        <f>+E36-E121</f>
        <v>440250</v>
      </c>
      <c r="F124" s="110">
        <f>+E124/365</f>
        <v>1206.1643835616439</v>
      </c>
      <c r="G124" s="110">
        <f>+E124/'Entreprise Budget'!$C$44</f>
        <v>615.7342657342657</v>
      </c>
      <c r="H124" s="110">
        <f>+G124/'Entreprise Budget'!$C$6</f>
        <v>1.6823340593832397</v>
      </c>
      <c r="I124" s="110">
        <f>+E124/'Entreprise Budget'!$C$14*100</f>
        <v>2.9032990709970545</v>
      </c>
    </row>
    <row r="125" spans="2:10" ht="16.5" thickTop="1">
      <c r="E125" s="18"/>
      <c r="F125" s="19"/>
      <c r="G125" s="19"/>
      <c r="H125" s="19"/>
      <c r="I125" s="19"/>
    </row>
    <row r="126" spans="2:10" ht="15.75">
      <c r="B126" s="350" t="s">
        <v>153</v>
      </c>
      <c r="C126" s="351"/>
      <c r="D126" s="352"/>
      <c r="E126" s="353">
        <f>+'Entreprise Budget'!D139</f>
        <v>50000</v>
      </c>
      <c r="F126" s="354">
        <f>'Entreprise Budget'!D139/365</f>
        <v>136.98630136986301</v>
      </c>
      <c r="G126" s="354">
        <f>+'Entreprise Budget'!D139/'Entreprise Budget'!$C$44</f>
        <v>69.930069930069934</v>
      </c>
      <c r="H126" s="354">
        <f>+G126/'Entreprise Budget'!$C$6</f>
        <v>0.19106576483625665</v>
      </c>
      <c r="I126" s="355">
        <f>+'Entreprise Budget'!D139/'Entreprise Budget'!$C$14*100</f>
        <v>0.32973300068109646</v>
      </c>
    </row>
    <row r="127" spans="2:10" ht="15.75">
      <c r="E127" s="18"/>
      <c r="F127" s="19"/>
      <c r="G127" s="19"/>
      <c r="H127" s="19"/>
      <c r="I127" s="19"/>
    </row>
    <row r="128" spans="2:10">
      <c r="E128" s="64" t="s">
        <v>107</v>
      </c>
    </row>
    <row r="129" spans="2:10">
      <c r="B129" s="68" t="s">
        <v>145</v>
      </c>
      <c r="C129" s="81"/>
      <c r="D129" s="81"/>
      <c r="E129" s="120">
        <f>+E126/G123</f>
        <v>63.51129523958415</v>
      </c>
    </row>
    <row r="130" spans="2:10">
      <c r="B130" s="73" t="s">
        <v>146</v>
      </c>
      <c r="C130" s="33"/>
      <c r="D130" s="33"/>
      <c r="E130" s="121">
        <f>+E126/G124</f>
        <v>81.203861442362296</v>
      </c>
    </row>
    <row r="131" spans="2:10">
      <c r="B131" s="73" t="s">
        <v>147</v>
      </c>
      <c r="C131" s="33"/>
      <c r="D131" s="33"/>
      <c r="E131" s="122">
        <f>+E126/H123</f>
        <v>23245.134057687799</v>
      </c>
    </row>
    <row r="132" spans="2:10">
      <c r="B132" s="76" t="s">
        <v>148</v>
      </c>
      <c r="C132" s="67"/>
      <c r="D132" s="67"/>
      <c r="E132" s="123">
        <f>+E126/H124</f>
        <v>29720.613287904602</v>
      </c>
    </row>
    <row r="134" spans="2:10" ht="15.75">
      <c r="B134" s="88" t="s">
        <v>77</v>
      </c>
      <c r="C134" s="94"/>
      <c r="D134" s="52"/>
      <c r="E134" s="116">
        <f>+'Entreprise Budget'!C14/'Entreprise Budget'!D109</f>
        <v>1366106.6666666667</v>
      </c>
      <c r="F134" s="33" t="s">
        <v>171</v>
      </c>
    </row>
    <row r="135" spans="2:10" ht="15.75">
      <c r="B135" s="111" t="s">
        <v>115</v>
      </c>
      <c r="C135" s="16"/>
      <c r="E135" s="117">
        <f>+'Entreprise Budget'!C14/+'Entreprise Budget'!C110</f>
        <v>1516378.4</v>
      </c>
    </row>
    <row r="136" spans="2:10" ht="15.75">
      <c r="B136" s="111" t="s">
        <v>118</v>
      </c>
      <c r="C136" s="16"/>
      <c r="E136" s="117">
        <f>+'Entreprise Budget'!C14/'Entreprise Budget'!D141</f>
        <v>1263648.6666666667</v>
      </c>
    </row>
    <row r="137" spans="2:10" ht="15.75">
      <c r="B137" s="111" t="s">
        <v>78</v>
      </c>
      <c r="C137" s="16"/>
      <c r="E137" s="118">
        <f>+(('Entreprise Budget'!C15+'Entreprise Budget'!C44)/2)/'Entreprise Budget'!D109</f>
        <v>62.837837837837839</v>
      </c>
    </row>
    <row r="138" spans="2:10" ht="15.75">
      <c r="B138" s="79" t="s">
        <v>116</v>
      </c>
      <c r="C138" s="65"/>
      <c r="D138" s="66"/>
      <c r="E138" s="119">
        <f>+(('Entreprise Budget'!C15+'Entreprise Budget'!C44)/2)/'Entreprise Budget'!C110</f>
        <v>69.75</v>
      </c>
    </row>
    <row r="139" spans="2:10" ht="15.75">
      <c r="B139" s="16"/>
      <c r="C139" s="16"/>
      <c r="E139" s="398"/>
    </row>
    <row r="140" spans="2:10" ht="15.75">
      <c r="B140" s="402" t="s">
        <v>355</v>
      </c>
      <c r="C140" s="403"/>
      <c r="D140" s="404"/>
      <c r="E140" s="398"/>
      <c r="G140" s="402" t="s">
        <v>356</v>
      </c>
      <c r="H140" s="403"/>
      <c r="I140" s="404"/>
      <c r="J140" s="398"/>
    </row>
    <row r="141" spans="2:10" ht="15.75">
      <c r="B141" s="394" t="s">
        <v>198</v>
      </c>
      <c r="C141" s="395"/>
      <c r="D141" s="396">
        <f>G11</f>
        <v>3185.1468531468531</v>
      </c>
      <c r="G141" s="394" t="s">
        <v>198</v>
      </c>
      <c r="H141" s="395"/>
      <c r="I141" s="396">
        <f>G11</f>
        <v>3185.1468531468531</v>
      </c>
    </row>
    <row r="142" spans="2:10" ht="15.75">
      <c r="B142" s="130" t="s">
        <v>199</v>
      </c>
      <c r="C142" s="102"/>
      <c r="D142" s="132">
        <f>G121</f>
        <v>2776.3468531468529</v>
      </c>
      <c r="G142" s="130" t="s">
        <v>199</v>
      </c>
      <c r="H142" s="102"/>
      <c r="I142" s="132">
        <f>G120</f>
        <v>2604.8195804195802</v>
      </c>
    </row>
    <row r="143" spans="2:10" ht="15.75">
      <c r="B143" s="399" t="s">
        <v>189</v>
      </c>
      <c r="C143" s="131"/>
      <c r="D143" s="133">
        <f>D141-D142</f>
        <v>408.80000000000018</v>
      </c>
      <c r="G143" s="399" t="s">
        <v>189</v>
      </c>
      <c r="H143" s="131"/>
      <c r="I143" s="133">
        <f>I141-I142</f>
        <v>580.32727272727288</v>
      </c>
    </row>
    <row r="144" spans="2:10" ht="15.75">
      <c r="B144" s="112" t="s">
        <v>113</v>
      </c>
      <c r="C144" s="113"/>
      <c r="D144" s="114"/>
      <c r="E144" s="115">
        <f>+'Entreprise Budget'!D142/'Entreprise Budget'!C9</f>
        <v>735.29411764705878</v>
      </c>
      <c r="G144" s="112" t="s">
        <v>113</v>
      </c>
      <c r="H144" s="113"/>
      <c r="I144" s="114"/>
      <c r="J144" s="115">
        <f>+'Entreprise Budget'!D142/'Entreprise Budget'!C9</f>
        <v>735.29411764705878</v>
      </c>
    </row>
    <row r="145" spans="2:10" ht="15.75">
      <c r="B145" s="134" t="s">
        <v>341</v>
      </c>
      <c r="C145" s="135"/>
      <c r="D145" s="136"/>
      <c r="E145" s="160">
        <f>E121/'Entreprise Budget'!C14*100</f>
        <v>13.090980457120729</v>
      </c>
      <c r="G145" s="134" t="s">
        <v>341</v>
      </c>
      <c r="H145" s="135"/>
      <c r="I145" s="136"/>
      <c r="J145" s="160">
        <f>E120/'Entreprise Budget'!C14*100</f>
        <v>12.282198163730108</v>
      </c>
    </row>
    <row r="146" spans="2:10" ht="15.75">
      <c r="B146" s="386" t="s">
        <v>119</v>
      </c>
      <c r="C146" s="387"/>
      <c r="D146" s="388"/>
      <c r="E146" s="389">
        <f>+'Entreprise Budget'!D145/'Entreprise Budget'!C9</f>
        <v>2941.1764705882351</v>
      </c>
      <c r="G146" s="386" t="s">
        <v>119</v>
      </c>
      <c r="H146" s="387"/>
      <c r="I146" s="388"/>
      <c r="J146" s="389">
        <f>+'Entreprise Budget'!D145/'Entreprise Budget'!C9</f>
        <v>2941.1764705882351</v>
      </c>
    </row>
    <row r="147" spans="2:10" ht="15.75">
      <c r="B147" s="390" t="s">
        <v>120</v>
      </c>
      <c r="C147" s="391"/>
      <c r="D147" s="392"/>
      <c r="E147" s="393">
        <f>+'Entreprise Budget'!D144/'Entreprise Budget'!C9</f>
        <v>1176.4705882352941</v>
      </c>
      <c r="G147" s="390" t="s">
        <v>120</v>
      </c>
      <c r="H147" s="391"/>
      <c r="I147" s="392"/>
      <c r="J147" s="393">
        <f>+'Entreprise Budget'!D144/'Entreprise Budget'!C9</f>
        <v>1176.4705882352941</v>
      </c>
    </row>
    <row r="148" spans="2:10">
      <c r="G148" s="161"/>
    </row>
  </sheetData>
  <sheetProtection selectLockedCells="1" selectUnlockedCells="1"/>
  <mergeCells count="3">
    <mergeCell ref="A1:J1"/>
    <mergeCell ref="B140:D140"/>
    <mergeCell ref="G140:I14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activeCell="A21" sqref="A21"/>
    </sheetView>
  </sheetViews>
  <sheetFormatPr defaultRowHeight="12.75"/>
  <cols>
    <col min="1" max="1" width="94" style="330" customWidth="1"/>
    <col min="2" max="2" width="11.28515625" style="336" bestFit="1" customWidth="1"/>
    <col min="3" max="3" width="13.42578125" style="330" customWidth="1"/>
    <col min="4" max="16384" width="9.140625" style="330"/>
  </cols>
  <sheetData>
    <row r="1" spans="1:3" s="343" customFormat="1" ht="24" customHeight="1">
      <c r="A1" s="340" t="s">
        <v>318</v>
      </c>
      <c r="B1" s="341" t="s">
        <v>319</v>
      </c>
      <c r="C1" s="342" t="s">
        <v>320</v>
      </c>
    </row>
    <row r="2" spans="1:3">
      <c r="A2" s="331" t="s">
        <v>321</v>
      </c>
      <c r="B2" s="356">
        <f>'Entreprise Budget'!C7</f>
        <v>21740.192114695339</v>
      </c>
      <c r="C2" s="338">
        <f>B2/365</f>
        <v>59.562170177247502</v>
      </c>
    </row>
    <row r="3" spans="1:3">
      <c r="A3" s="331" t="s">
        <v>322</v>
      </c>
      <c r="B3" s="339">
        <v>16</v>
      </c>
      <c r="C3" s="339">
        <f>B3/365</f>
        <v>4.3835616438356165E-2</v>
      </c>
    </row>
    <row r="4" spans="1:3">
      <c r="A4" s="331" t="s">
        <v>323</v>
      </c>
      <c r="B4" s="333">
        <f>(B2)/100*B3</f>
        <v>3478.4307383512541</v>
      </c>
      <c r="C4" s="339">
        <f t="shared" ref="C4:C21" si="0">B4/365</f>
        <v>9.5299472283595996</v>
      </c>
    </row>
    <row r="5" spans="1:3">
      <c r="A5" s="331" t="s">
        <v>324</v>
      </c>
      <c r="B5" s="333">
        <v>116.46</v>
      </c>
      <c r="C5" s="339">
        <f t="shared" si="0"/>
        <v>0.31906849315068492</v>
      </c>
    </row>
    <row r="6" spans="1:3">
      <c r="A6" s="331" t="s">
        <v>325</v>
      </c>
      <c r="B6" s="333">
        <v>38.17</v>
      </c>
      <c r="C6" s="339">
        <f t="shared" si="0"/>
        <v>0.10457534246575342</v>
      </c>
    </row>
    <row r="7" spans="1:3">
      <c r="A7" s="331" t="s">
        <v>326</v>
      </c>
      <c r="B7" s="333">
        <f>B4+B5+B6</f>
        <v>3633.0607383512543</v>
      </c>
      <c r="C7" s="339">
        <f t="shared" si="0"/>
        <v>9.9535910639760399</v>
      </c>
    </row>
    <row r="8" spans="1:3">
      <c r="A8" s="331" t="s">
        <v>327</v>
      </c>
      <c r="B8" s="333">
        <v>1472.14</v>
      </c>
      <c r="C8" s="339">
        <f t="shared" si="0"/>
        <v>4.0332602739726031</v>
      </c>
    </row>
    <row r="9" spans="1:3">
      <c r="A9" s="331" t="s">
        <v>328</v>
      </c>
      <c r="B9" s="333">
        <v>941.38</v>
      </c>
      <c r="C9" s="339">
        <f t="shared" si="0"/>
        <v>2.5791232876712327</v>
      </c>
    </row>
    <row r="10" spans="1:3">
      <c r="A10" s="331" t="s">
        <v>329</v>
      </c>
      <c r="B10" s="333">
        <f>B7-B8-B9</f>
        <v>1219.5407383512538</v>
      </c>
      <c r="C10" s="339">
        <f t="shared" si="0"/>
        <v>3.3412075023322023</v>
      </c>
    </row>
    <row r="11" spans="1:3">
      <c r="A11" s="331" t="s">
        <v>330</v>
      </c>
      <c r="B11" s="334">
        <v>0</v>
      </c>
      <c r="C11" s="368">
        <v>0</v>
      </c>
    </row>
    <row r="12" spans="1:3" ht="25.5" customHeight="1">
      <c r="A12" s="335" t="s">
        <v>331</v>
      </c>
      <c r="B12" s="333">
        <v>1000</v>
      </c>
      <c r="C12" s="339">
        <f t="shared" si="0"/>
        <v>2.7397260273972601</v>
      </c>
    </row>
    <row r="13" spans="1:3">
      <c r="A13" s="331" t="s">
        <v>332</v>
      </c>
      <c r="B13" s="333">
        <v>73.53</v>
      </c>
      <c r="C13" s="339">
        <f t="shared" si="0"/>
        <v>0.20145205479452055</v>
      </c>
    </row>
    <row r="14" spans="1:3">
      <c r="A14" s="331" t="s">
        <v>333</v>
      </c>
      <c r="B14" s="333">
        <v>49.43</v>
      </c>
      <c r="C14" s="339">
        <f t="shared" si="0"/>
        <v>0.13542465753424657</v>
      </c>
    </row>
    <row r="15" spans="1:3">
      <c r="A15" s="331" t="s">
        <v>334</v>
      </c>
      <c r="B15" s="333">
        <v>259.64</v>
      </c>
      <c r="C15" s="339">
        <f t="shared" si="0"/>
        <v>0.71134246575342464</v>
      </c>
    </row>
    <row r="16" spans="1:3">
      <c r="A16" s="335" t="s">
        <v>339</v>
      </c>
      <c r="B16" s="333">
        <f>B12+B13+B14+B15</f>
        <v>1382.6</v>
      </c>
      <c r="C16" s="339">
        <f t="shared" si="0"/>
        <v>3.7879452054794518</v>
      </c>
    </row>
    <row r="17" spans="1:3" ht="25.5">
      <c r="A17" s="335" t="s">
        <v>340</v>
      </c>
      <c r="B17" s="333">
        <f>B10+B11-B16</f>
        <v>-163.05926164874609</v>
      </c>
      <c r="C17" s="339">
        <f t="shared" si="0"/>
        <v>-0.44673770314724953</v>
      </c>
    </row>
    <row r="18" spans="1:3" ht="30.75" customHeight="1">
      <c r="A18" s="335" t="s">
        <v>335</v>
      </c>
      <c r="B18" s="332">
        <v>0.23699999999999999</v>
      </c>
      <c r="C18" s="339">
        <f t="shared" si="0"/>
        <v>6.4931506849315063E-4</v>
      </c>
    </row>
    <row r="19" spans="1:3" ht="25.5">
      <c r="A19" s="335" t="s">
        <v>338</v>
      </c>
      <c r="B19" s="333">
        <f>B17/B18</f>
        <v>-688.01376223099624</v>
      </c>
      <c r="C19" s="339">
        <f t="shared" si="0"/>
        <v>-1.8849692115917704</v>
      </c>
    </row>
    <row r="20" spans="1:3">
      <c r="A20" s="331" t="s">
        <v>336</v>
      </c>
      <c r="B20" s="333">
        <v>735.3</v>
      </c>
      <c r="C20" s="339">
        <f t="shared" si="0"/>
        <v>2.0145205479452053</v>
      </c>
    </row>
    <row r="21" spans="1:3">
      <c r="A21" s="331" t="s">
        <v>337</v>
      </c>
      <c r="B21" s="333">
        <f>B19+B20</f>
        <v>47.286237769003719</v>
      </c>
      <c r="C21" s="339">
        <f t="shared" si="0"/>
        <v>0.12955133635343485</v>
      </c>
    </row>
    <row r="46" spans="1:1">
      <c r="A46" s="337"/>
    </row>
    <row r="47" spans="1:1">
      <c r="A47" s="337"/>
    </row>
  </sheetData>
  <sheetProtection sheet="1" objects="1"/>
  <pageMargins left="0.7" right="0.7" top="0.75" bottom="0.75" header="0.3" footer="0.3"/>
  <pageSetup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L43"/>
  <sheetViews>
    <sheetView workbookViewId="0">
      <selection activeCell="B19" sqref="B19"/>
    </sheetView>
  </sheetViews>
  <sheetFormatPr defaultRowHeight="12.75"/>
  <cols>
    <col min="1" max="1" width="4.140625" style="272" customWidth="1"/>
    <col min="2" max="2" width="23.85546875" style="272" bestFit="1" customWidth="1"/>
    <col min="3" max="3" width="15.42578125" style="272" bestFit="1" customWidth="1"/>
    <col min="4" max="4" width="5" style="272" customWidth="1"/>
    <col min="5" max="5" width="32.140625" style="272" bestFit="1" customWidth="1"/>
    <col min="6" max="6" width="14.28515625" style="272" bestFit="1" customWidth="1"/>
    <col min="7" max="9" width="9.140625" style="272"/>
    <col min="10" max="10" width="10.7109375" style="272" bestFit="1" customWidth="1"/>
    <col min="11" max="16384" width="9.140625" style="272"/>
  </cols>
  <sheetData>
    <row r="1" spans="2:12" s="294" customFormat="1" ht="20.25">
      <c r="B1" s="295" t="s">
        <v>278</v>
      </c>
      <c r="C1" s="295"/>
      <c r="D1" s="295"/>
      <c r="E1" s="295"/>
      <c r="F1" s="295"/>
    </row>
    <row r="2" spans="2:12">
      <c r="B2" s="281" t="s">
        <v>315</v>
      </c>
    </row>
    <row r="4" spans="2:12" ht="15">
      <c r="B4" s="273" t="s">
        <v>202</v>
      </c>
      <c r="C4" s="274">
        <v>14543</v>
      </c>
      <c r="E4" s="275" t="s">
        <v>203</v>
      </c>
      <c r="F4" s="274">
        <v>9489</v>
      </c>
    </row>
    <row r="6" spans="2:12" ht="15">
      <c r="E6" s="275" t="s">
        <v>300</v>
      </c>
      <c r="F6" s="296">
        <v>853125</v>
      </c>
      <c r="L6" s="5"/>
    </row>
    <row r="7" spans="2:12">
      <c r="L7" s="5"/>
    </row>
    <row r="8" spans="2:12" ht="15">
      <c r="B8" s="273" t="s">
        <v>299</v>
      </c>
      <c r="C8" s="274">
        <v>1812597</v>
      </c>
      <c r="E8" s="275" t="s">
        <v>221</v>
      </c>
      <c r="F8" s="279">
        <f>F4+F6</f>
        <v>862614</v>
      </c>
      <c r="L8" s="5"/>
    </row>
    <row r="9" spans="2:12">
      <c r="L9" s="5"/>
    </row>
    <row r="10" spans="2:12" ht="15">
      <c r="E10" s="276" t="s">
        <v>284</v>
      </c>
      <c r="F10" s="278">
        <f>C12-F8</f>
        <v>964526</v>
      </c>
      <c r="L10" s="5"/>
    </row>
    <row r="11" spans="2:12">
      <c r="L11" s="5"/>
    </row>
    <row r="12" spans="2:12" ht="15">
      <c r="B12" s="273" t="s">
        <v>223</v>
      </c>
      <c r="C12" s="278">
        <f>C4+C8</f>
        <v>1827140</v>
      </c>
      <c r="E12" s="276" t="s">
        <v>301</v>
      </c>
      <c r="F12" s="278">
        <f>F10+F8</f>
        <v>1827140</v>
      </c>
      <c r="L12" s="5"/>
    </row>
    <row r="13" spans="2:12" ht="3" customHeight="1" thickBot="1">
      <c r="B13" s="277"/>
      <c r="C13" s="277"/>
      <c r="D13" s="277"/>
      <c r="E13" s="277"/>
      <c r="F13" s="277"/>
      <c r="L13" s="5"/>
    </row>
    <row r="14" spans="2:12" ht="13.5" thickTop="1">
      <c r="L14" s="5"/>
    </row>
    <row r="15" spans="2:12" s="294" customFormat="1" ht="19.5" customHeight="1">
      <c r="B15" s="293" t="s">
        <v>277</v>
      </c>
      <c r="C15" s="293"/>
      <c r="D15" s="293"/>
      <c r="E15" s="293"/>
      <c r="F15" s="293"/>
      <c r="L15" s="316"/>
    </row>
    <row r="16" spans="2:12">
      <c r="B16" s="280"/>
      <c r="L16" s="5"/>
    </row>
    <row r="17" spans="2:12" ht="15">
      <c r="B17" s="283" t="s">
        <v>259</v>
      </c>
      <c r="C17" s="289">
        <v>1254398</v>
      </c>
      <c r="E17" s="281" t="s">
        <v>316</v>
      </c>
      <c r="L17" s="5"/>
    </row>
    <row r="18" spans="2:12">
      <c r="L18" s="5"/>
    </row>
    <row r="19" spans="2:12" ht="15">
      <c r="B19" s="286" t="s">
        <v>302</v>
      </c>
      <c r="C19" s="288">
        <v>982546</v>
      </c>
      <c r="L19" s="5"/>
    </row>
    <row r="20" spans="2:12">
      <c r="L20" s="5"/>
    </row>
    <row r="21" spans="2:12" ht="15">
      <c r="B21" s="286" t="s">
        <v>309</v>
      </c>
      <c r="C21" s="274">
        <v>23762</v>
      </c>
      <c r="L21" s="5"/>
    </row>
    <row r="22" spans="2:12" ht="15">
      <c r="B22" s="282" t="s">
        <v>74</v>
      </c>
      <c r="C22" s="287">
        <v>123456</v>
      </c>
      <c r="L22" s="5"/>
    </row>
    <row r="23" spans="2:12">
      <c r="L23" s="5"/>
    </row>
    <row r="24" spans="2:12" ht="15">
      <c r="B24" s="286" t="s">
        <v>265</v>
      </c>
      <c r="C24" s="279">
        <f>SUM(C19:C22)</f>
        <v>1129764</v>
      </c>
      <c r="L24" s="5"/>
    </row>
    <row r="25" spans="2:12">
      <c r="L25" s="5"/>
    </row>
    <row r="26" spans="2:12" ht="15">
      <c r="B26" s="283" t="s">
        <v>303</v>
      </c>
      <c r="C26" s="278">
        <f>C17-C24</f>
        <v>124634</v>
      </c>
      <c r="L26" s="5"/>
    </row>
    <row r="27" spans="2:12">
      <c r="B27" s="161"/>
      <c r="C27" s="161"/>
      <c r="L27" s="5"/>
    </row>
    <row r="28" spans="2:12" ht="30">
      <c r="B28" s="284" t="s">
        <v>267</v>
      </c>
      <c r="C28" s="285"/>
      <c r="D28" s="281" t="s">
        <v>308</v>
      </c>
      <c r="L28" s="5"/>
    </row>
    <row r="29" spans="2:12">
      <c r="L29" s="5"/>
    </row>
    <row r="30" spans="2:12" ht="15">
      <c r="B30" s="276" t="s">
        <v>304</v>
      </c>
      <c r="C30" s="276">
        <f>C26+C28</f>
        <v>124634</v>
      </c>
      <c r="L30" s="5"/>
    </row>
    <row r="31" spans="2:12">
      <c r="B31" s="161"/>
      <c r="C31" s="161"/>
      <c r="I31" s="53"/>
      <c r="L31" s="5"/>
    </row>
    <row r="32" spans="2:12">
      <c r="B32" s="290" t="s">
        <v>305</v>
      </c>
      <c r="C32" s="291"/>
      <c r="L32" s="5"/>
    </row>
    <row r="33" spans="2:12" ht="15">
      <c r="B33" s="275" t="s">
        <v>306</v>
      </c>
      <c r="C33" s="292">
        <v>50000</v>
      </c>
      <c r="L33" s="5"/>
    </row>
    <row r="34" spans="2:12" ht="9.75" customHeight="1">
      <c r="B34" s="280"/>
      <c r="L34" s="5"/>
    </row>
    <row r="35" spans="2:12" ht="15">
      <c r="B35" s="283" t="s">
        <v>307</v>
      </c>
      <c r="C35" s="278">
        <f>C30-C33</f>
        <v>74634</v>
      </c>
      <c r="L35" s="5"/>
    </row>
    <row r="36" spans="2:12">
      <c r="B36" s="161"/>
      <c r="C36" s="161"/>
      <c r="L36" s="5"/>
    </row>
    <row r="37" spans="2:12">
      <c r="L37" s="5"/>
    </row>
    <row r="38" spans="2:12">
      <c r="L38" s="5"/>
    </row>
    <row r="39" spans="2:12">
      <c r="L39" s="5"/>
    </row>
    <row r="40" spans="2:12">
      <c r="L40" s="5"/>
    </row>
    <row r="41" spans="2:12">
      <c r="L41" s="5"/>
    </row>
    <row r="42" spans="2:12">
      <c r="L42" s="5"/>
    </row>
    <row r="43" spans="2:12">
      <c r="L43" s="5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5"/>
  <sheetViews>
    <sheetView workbookViewId="0">
      <selection activeCell="M14" sqref="M14"/>
    </sheetView>
  </sheetViews>
  <sheetFormatPr defaultRowHeight="12.75"/>
  <cols>
    <col min="1" max="1" width="6.7109375" customWidth="1"/>
    <col min="2" max="2" width="15.140625" customWidth="1"/>
    <col min="3" max="3" width="13.140625" customWidth="1"/>
    <col min="4" max="4" width="9.7109375" bestFit="1" customWidth="1"/>
    <col min="11" max="11" width="10.42578125" customWidth="1"/>
  </cols>
  <sheetData>
    <row r="1" spans="2:14" ht="23.25">
      <c r="B1" s="408" t="s">
        <v>287</v>
      </c>
      <c r="C1" s="408"/>
      <c r="D1" s="408"/>
      <c r="F1" s="17"/>
      <c r="G1" s="17"/>
      <c r="H1" s="17"/>
      <c r="I1" s="17"/>
      <c r="J1" s="17"/>
      <c r="K1" s="17"/>
      <c r="L1" s="17"/>
      <c r="M1" s="17"/>
      <c r="N1" s="17"/>
    </row>
    <row r="2" spans="2:14" ht="23.25">
      <c r="B2" s="408" t="s">
        <v>286</v>
      </c>
      <c r="C2" s="408"/>
      <c r="D2" s="408"/>
      <c r="F2" s="17"/>
      <c r="G2" s="17"/>
      <c r="H2" s="17"/>
      <c r="I2" s="17"/>
      <c r="J2" s="17"/>
      <c r="K2" s="17"/>
      <c r="L2" s="17"/>
      <c r="M2" s="17"/>
      <c r="N2" s="17"/>
    </row>
    <row r="3" spans="2:14">
      <c r="F3" s="17"/>
      <c r="G3" s="17"/>
      <c r="H3" s="17"/>
      <c r="I3" s="17"/>
      <c r="J3" s="17"/>
      <c r="K3" s="17"/>
      <c r="L3" s="17"/>
      <c r="M3" s="17"/>
      <c r="N3" s="17"/>
    </row>
    <row r="4" spans="2:14" ht="15">
      <c r="B4" s="405" t="s">
        <v>288</v>
      </c>
      <c r="C4" s="406"/>
      <c r="D4" s="407"/>
      <c r="F4" s="17"/>
      <c r="G4" s="17"/>
      <c r="H4" s="17"/>
      <c r="I4" s="17"/>
      <c r="J4" s="17"/>
      <c r="K4" s="17"/>
      <c r="L4" s="17"/>
      <c r="M4" s="17"/>
      <c r="N4" s="17"/>
    </row>
    <row r="5" spans="2:14">
      <c r="B5" s="263" t="s">
        <v>283</v>
      </c>
      <c r="C5" s="63"/>
      <c r="D5" s="264">
        <f>'Fin. Stmts.'!C4/'Fin. Stmts.'!F4</f>
        <v>1.5326167140899989</v>
      </c>
      <c r="F5" s="17"/>
      <c r="G5" s="17"/>
      <c r="H5" s="17"/>
      <c r="I5" s="17"/>
      <c r="J5" s="17"/>
      <c r="K5" s="17"/>
      <c r="L5" s="17"/>
      <c r="M5" s="17"/>
      <c r="N5" s="17"/>
    </row>
    <row r="6" spans="2:14">
      <c r="B6" s="263" t="s">
        <v>284</v>
      </c>
      <c r="C6" s="63"/>
      <c r="D6" s="265">
        <f>'Fin. Stmts.'!F10/'Fin. Stmts.'!F12</f>
        <v>0.52788839388333675</v>
      </c>
      <c r="F6" s="17"/>
      <c r="G6" s="17"/>
      <c r="H6" s="17"/>
      <c r="I6" s="17"/>
      <c r="J6" s="17"/>
      <c r="K6" s="17"/>
      <c r="L6" s="17"/>
      <c r="M6" s="17"/>
      <c r="N6" s="17"/>
    </row>
    <row r="7" spans="2:14">
      <c r="B7" s="91"/>
      <c r="C7" s="63"/>
      <c r="D7" s="247"/>
      <c r="F7" s="17"/>
      <c r="G7" s="17"/>
      <c r="H7" s="17"/>
      <c r="I7" s="17"/>
      <c r="J7" s="17"/>
      <c r="K7" s="17"/>
      <c r="L7" s="17"/>
      <c r="M7" s="17"/>
      <c r="N7" s="17"/>
    </row>
    <row r="8" spans="2:14">
      <c r="B8" s="263" t="s">
        <v>285</v>
      </c>
      <c r="C8" s="63"/>
      <c r="D8" s="266">
        <f>Results!E144</f>
        <v>735.29411764705878</v>
      </c>
      <c r="F8" s="17"/>
      <c r="G8" s="17"/>
      <c r="H8" s="17"/>
      <c r="I8" s="17"/>
      <c r="J8" s="17"/>
      <c r="K8" s="17"/>
      <c r="L8" s="17"/>
      <c r="M8" s="17"/>
    </row>
    <row r="9" spans="2:14">
      <c r="B9" s="267" t="s">
        <v>289</v>
      </c>
      <c r="C9" s="268"/>
      <c r="D9" s="269">
        <f>'Fin. Stmts.'!C26/'Fin. Stmts.'!C21</f>
        <v>5.2450972140392222</v>
      </c>
      <c r="F9" s="17"/>
      <c r="G9" s="17"/>
      <c r="H9" s="17"/>
      <c r="I9" s="17"/>
      <c r="J9" s="17"/>
      <c r="K9" s="17"/>
      <c r="L9" s="17"/>
      <c r="M9" s="17"/>
      <c r="N9" s="17"/>
    </row>
    <row r="10" spans="2:14">
      <c r="F10" s="17"/>
      <c r="G10" s="17"/>
      <c r="H10" s="17"/>
      <c r="I10" s="17"/>
      <c r="J10" s="17"/>
      <c r="K10" s="17"/>
      <c r="L10" s="17"/>
      <c r="M10" s="17"/>
      <c r="N10" s="17"/>
    </row>
    <row r="11" spans="2:14" ht="15">
      <c r="B11" s="405" t="s">
        <v>293</v>
      </c>
      <c r="C11" s="406"/>
      <c r="D11" s="407"/>
      <c r="F11" s="17"/>
      <c r="G11" s="17"/>
      <c r="H11" s="17"/>
      <c r="I11" s="17"/>
      <c r="J11" s="17"/>
      <c r="K11" s="17"/>
      <c r="L11" s="17"/>
      <c r="M11" s="17"/>
      <c r="N11" s="17"/>
    </row>
    <row r="12" spans="2:14">
      <c r="B12" s="258" t="s">
        <v>294</v>
      </c>
      <c r="C12" s="17"/>
      <c r="D12" s="259">
        <f>'Fin. Stmts.'!F8/'Fin. Stmts.'!C12</f>
        <v>0.4721116061166632</v>
      </c>
      <c r="F12" s="17"/>
      <c r="G12" s="17"/>
      <c r="H12" s="17"/>
      <c r="I12" s="17"/>
      <c r="J12" s="17"/>
      <c r="K12" s="17"/>
      <c r="L12" s="17"/>
      <c r="M12" s="17"/>
      <c r="N12" s="17"/>
    </row>
    <row r="13" spans="2:14">
      <c r="B13" s="258"/>
      <c r="C13" s="17"/>
      <c r="D13" s="259"/>
      <c r="F13" s="17"/>
      <c r="G13" s="17"/>
      <c r="H13" s="17"/>
      <c r="I13" s="17"/>
      <c r="J13" s="17"/>
      <c r="K13" s="17"/>
      <c r="L13" s="17"/>
      <c r="M13" s="17"/>
      <c r="N13" s="17"/>
    </row>
    <row r="14" spans="2:14">
      <c r="B14" s="369" t="s">
        <v>314</v>
      </c>
      <c r="C14" s="17"/>
      <c r="D14" s="205"/>
      <c r="F14" s="17"/>
      <c r="G14" s="17"/>
      <c r="H14" s="17"/>
      <c r="I14" s="17"/>
      <c r="J14" s="17"/>
      <c r="K14" s="17"/>
      <c r="L14" s="17"/>
      <c r="M14" s="17"/>
      <c r="N14" s="17"/>
    </row>
    <row r="15" spans="2:14">
      <c r="B15" s="258" t="s">
        <v>295</v>
      </c>
      <c r="C15" s="17"/>
      <c r="D15" s="260">
        <f>'Fin. Stmts.'!C35/'Fin. Stmts.'!C17</f>
        <v>5.949786271980663E-2</v>
      </c>
      <c r="F15" s="17"/>
      <c r="G15" s="17"/>
      <c r="H15" s="17"/>
      <c r="I15" s="17"/>
      <c r="J15" s="17"/>
      <c r="K15" s="17"/>
      <c r="L15" s="17"/>
      <c r="M15" s="17"/>
      <c r="N15" s="17"/>
    </row>
    <row r="16" spans="2:14">
      <c r="B16" s="258" t="s">
        <v>296</v>
      </c>
      <c r="C16" s="17"/>
      <c r="D16" s="261">
        <f>'Fin. Stmts.'!C17/'Fin. Stmts.'!C12</f>
        <v>0.68653633547511417</v>
      </c>
      <c r="F16" s="17"/>
      <c r="G16" s="17"/>
      <c r="H16" s="17"/>
      <c r="I16" s="17"/>
      <c r="J16" s="17"/>
      <c r="K16" s="17"/>
      <c r="L16" s="17"/>
      <c r="M16" s="17"/>
      <c r="N16" s="17"/>
    </row>
    <row r="17" spans="2:14">
      <c r="B17" s="258" t="s">
        <v>297</v>
      </c>
      <c r="C17" s="17"/>
      <c r="D17" s="260">
        <f>D15*D16</f>
        <v>4.0847444640257455E-2</v>
      </c>
      <c r="F17" s="17"/>
      <c r="G17" s="17"/>
      <c r="H17" s="17"/>
      <c r="I17" s="17"/>
      <c r="J17" s="17"/>
      <c r="K17" s="17"/>
      <c r="L17" s="17"/>
      <c r="M17" s="17"/>
      <c r="N17" s="17"/>
    </row>
    <row r="18" spans="2:14">
      <c r="B18" s="262" t="s">
        <v>298</v>
      </c>
      <c r="C18" s="66"/>
      <c r="D18" s="301">
        <f>D17*('Fin. Stmts.'!C12/'Fin. Stmts.'!F10)</f>
        <v>7.7378940536595178E-2</v>
      </c>
      <c r="F18" s="17"/>
      <c r="G18" s="17"/>
      <c r="H18" s="17"/>
      <c r="I18" s="17"/>
      <c r="J18" s="17"/>
      <c r="K18" s="17"/>
      <c r="L18" s="17"/>
      <c r="M18" s="17"/>
      <c r="N18" s="17"/>
    </row>
    <row r="19" spans="2:14">
      <c r="L19" s="5"/>
    </row>
    <row r="20" spans="2:14">
      <c r="L20" s="5"/>
    </row>
    <row r="21" spans="2:14">
      <c r="L21" s="5"/>
    </row>
    <row r="22" spans="2:14">
      <c r="L22" s="5"/>
    </row>
    <row r="23" spans="2:14">
      <c r="L23" s="5"/>
    </row>
    <row r="24" spans="2:14">
      <c r="L24" s="5"/>
    </row>
    <row r="25" spans="2:14">
      <c r="L25" s="5"/>
    </row>
    <row r="26" spans="2:14">
      <c r="L26" s="5"/>
    </row>
    <row r="27" spans="2:14">
      <c r="L27" s="5"/>
    </row>
    <row r="28" spans="2:14">
      <c r="L28" s="5"/>
    </row>
    <row r="29" spans="2:14">
      <c r="L29" s="5"/>
    </row>
    <row r="30" spans="2:14">
      <c r="L30" s="5"/>
    </row>
    <row r="31" spans="2:14">
      <c r="L31" s="5"/>
    </row>
    <row r="32" spans="2:14">
      <c r="L32" s="5"/>
    </row>
    <row r="33" spans="12:12">
      <c r="L33" s="5"/>
    </row>
    <row r="34" spans="12:12">
      <c r="L34" s="5"/>
    </row>
    <row r="35" spans="12:12">
      <c r="L35" s="5"/>
    </row>
  </sheetData>
  <mergeCells count="4">
    <mergeCell ref="B11:D11"/>
    <mergeCell ref="B1:D1"/>
    <mergeCell ref="B2:D2"/>
    <mergeCell ref="B4:D4"/>
  </mergeCells>
  <conditionalFormatting sqref="N5">
    <cfRule type="cellIs" dxfId="12" priority="1" operator="lessThan">
      <formula>0</formula>
    </cfRule>
    <cfRule type="cellIs" dxfId="11" priority="2" operator="greaterThan">
      <formula>0</formula>
    </cfRule>
    <cfRule type="cellIs" dxfId="10" priority="22" operator="greaterThan">
      <formula>$I$5</formula>
    </cfRule>
    <cfRule type="cellIs" dxfId="9" priority="23" operator="lessThan">
      <formula>$I$5</formula>
    </cfRule>
  </conditionalFormatting>
  <conditionalFormatting sqref="N6:N7 N9">
    <cfRule type="cellIs" dxfId="8" priority="20" operator="lessThan">
      <formula>0</formula>
    </cfRule>
    <cfRule type="cellIs" dxfId="7" priority="21" operator="greaterThan">
      <formula>0</formula>
    </cfRule>
  </conditionalFormatting>
  <conditionalFormatting sqref="N9">
    <cfRule type="cellIs" dxfId="6" priority="12" operator="lessThan">
      <formula>0</formula>
    </cfRule>
    <cfRule type="cellIs" dxfId="5" priority="13" operator="greaterThan">
      <formula>0</formula>
    </cfRule>
  </conditionalFormatting>
  <conditionalFormatting sqref="N15:N18">
    <cfRule type="cellIs" dxfId="4" priority="6" operator="greaterThan">
      <formula>0</formula>
    </cfRule>
    <cfRule type="cellIs" dxfId="3" priority="7" operator="lessThan">
      <formula>0</formula>
    </cfRule>
  </conditionalFormatting>
  <conditionalFormatting sqref="N12:N13">
    <cfRule type="cellIs" dxfId="2" priority="3" operator="lessThan">
      <formula>0</formula>
    </cfRule>
    <cfRule type="cellIs" dxfId="1" priority="4" operator="greaterThan">
      <formula>0.151</formula>
    </cfRule>
    <cfRule type="cellIs" dxfId="0" priority="5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3"/>
  <sheetViews>
    <sheetView zoomScale="90" zoomScaleNormal="90" workbookViewId="0">
      <selection activeCell="D7" sqref="D7"/>
    </sheetView>
  </sheetViews>
  <sheetFormatPr defaultRowHeight="12.75"/>
  <cols>
    <col min="1" max="1" width="3.85546875" customWidth="1"/>
    <col min="3" max="3" width="22.85546875" bestFit="1" customWidth="1"/>
    <col min="4" max="4" width="13.140625" customWidth="1"/>
    <col min="7" max="7" width="25.7109375" bestFit="1" customWidth="1"/>
    <col min="8" max="8" width="11.85546875" customWidth="1"/>
    <col min="10" max="10" width="10.42578125" customWidth="1"/>
    <col min="11" max="11" width="25" bestFit="1" customWidth="1"/>
    <col min="12" max="12" width="13.7109375" customWidth="1"/>
  </cols>
  <sheetData>
    <row r="1" spans="2:15" ht="23.25">
      <c r="B1" s="408" t="s">
        <v>291</v>
      </c>
      <c r="C1" s="408"/>
      <c r="D1" s="408"/>
      <c r="E1" s="408"/>
      <c r="F1" s="408"/>
      <c r="G1" s="408"/>
      <c r="H1" s="408"/>
      <c r="J1" s="408" t="s">
        <v>292</v>
      </c>
      <c r="K1" s="408"/>
      <c r="L1" s="408"/>
      <c r="M1" s="408"/>
      <c r="N1" s="408"/>
      <c r="O1" s="408"/>
    </row>
    <row r="2" spans="2:15">
      <c r="B2" s="163"/>
      <c r="C2" s="163"/>
      <c r="D2" s="163"/>
      <c r="E2" s="166"/>
      <c r="F2" s="164"/>
      <c r="G2" s="165"/>
      <c r="H2" s="163"/>
      <c r="J2" s="180"/>
      <c r="L2" s="166"/>
    </row>
    <row r="3" spans="2:15">
      <c r="B3" s="200"/>
      <c r="C3" s="200"/>
      <c r="D3" s="201"/>
      <c r="E3" s="163"/>
      <c r="J3" s="180"/>
      <c r="K3" s="180"/>
      <c r="L3" s="180"/>
    </row>
    <row r="4" spans="2:15" ht="15">
      <c r="B4" s="225" t="s">
        <v>202</v>
      </c>
      <c r="C4" s="228"/>
      <c r="D4" s="229"/>
      <c r="E4" s="163"/>
      <c r="F4" s="223" t="s">
        <v>203</v>
      </c>
      <c r="G4" s="221"/>
      <c r="H4" s="224"/>
      <c r="J4" s="253" t="s">
        <v>258</v>
      </c>
      <c r="K4" s="254"/>
      <c r="L4" s="255"/>
    </row>
    <row r="5" spans="2:15" ht="15">
      <c r="B5" s="226"/>
      <c r="C5" s="202" t="s">
        <v>204</v>
      </c>
      <c r="D5" s="207">
        <v>14745.33</v>
      </c>
      <c r="E5" s="163"/>
      <c r="F5" s="218"/>
      <c r="G5" s="202" t="s">
        <v>205</v>
      </c>
      <c r="H5" s="207">
        <v>44478.7</v>
      </c>
      <c r="J5" s="256"/>
      <c r="K5" s="185" t="s">
        <v>86</v>
      </c>
      <c r="L5" s="303">
        <v>2277380</v>
      </c>
    </row>
    <row r="6" spans="2:15" ht="15">
      <c r="B6" s="226"/>
      <c r="C6" s="202" t="s">
        <v>279</v>
      </c>
      <c r="D6" s="207"/>
      <c r="E6" s="163"/>
      <c r="F6" s="218"/>
      <c r="G6" s="17" t="s">
        <v>206</v>
      </c>
      <c r="H6" s="208">
        <v>36087</v>
      </c>
      <c r="J6" s="256"/>
      <c r="K6" s="185" t="s">
        <v>274</v>
      </c>
      <c r="L6" s="303">
        <v>107646</v>
      </c>
    </row>
    <row r="7" spans="2:15" ht="15">
      <c r="B7" s="226"/>
      <c r="C7" s="202" t="s">
        <v>207</v>
      </c>
      <c r="D7" s="207">
        <v>75818.23</v>
      </c>
      <c r="F7" s="218"/>
      <c r="G7" s="17" t="s">
        <v>208</v>
      </c>
      <c r="H7" s="208"/>
      <c r="J7" s="257"/>
      <c r="K7" s="320" t="s">
        <v>36</v>
      </c>
      <c r="L7" s="304"/>
    </row>
    <row r="8" spans="2:15" ht="15">
      <c r="B8" s="226"/>
      <c r="C8" s="179" t="s">
        <v>257</v>
      </c>
      <c r="D8" s="208">
        <v>20478.21</v>
      </c>
      <c r="F8" s="218"/>
      <c r="G8" s="17" t="s">
        <v>209</v>
      </c>
      <c r="H8" s="208">
        <v>1500</v>
      </c>
      <c r="J8" s="257"/>
      <c r="K8" s="186"/>
      <c r="L8" s="304"/>
    </row>
    <row r="9" spans="2:15" ht="15">
      <c r="B9" s="226"/>
      <c r="C9" s="17" t="s">
        <v>211</v>
      </c>
      <c r="D9" s="208">
        <v>20012.02</v>
      </c>
      <c r="F9" s="218"/>
      <c r="G9" s="17" t="s">
        <v>210</v>
      </c>
      <c r="H9" s="208">
        <v>12014.92</v>
      </c>
      <c r="J9" s="196" t="s">
        <v>259</v>
      </c>
      <c r="K9" s="197"/>
      <c r="L9" s="305">
        <f>SUM(L5:L8)</f>
        <v>2385026</v>
      </c>
    </row>
    <row r="10" spans="2:15" ht="15">
      <c r="B10" s="226"/>
      <c r="C10" s="179" t="s">
        <v>36</v>
      </c>
      <c r="D10" s="208">
        <v>100.32</v>
      </c>
      <c r="F10" s="218"/>
      <c r="G10" s="17"/>
      <c r="H10" s="208"/>
      <c r="J10" s="184"/>
      <c r="K10" s="184"/>
      <c r="L10" s="306"/>
    </row>
    <row r="11" spans="2:15" ht="15">
      <c r="B11" s="226"/>
      <c r="C11" s="17"/>
      <c r="D11" s="205"/>
      <c r="F11" s="218"/>
      <c r="G11" s="17"/>
      <c r="H11" s="208"/>
      <c r="J11" s="249" t="s">
        <v>260</v>
      </c>
      <c r="K11" s="250"/>
      <c r="L11" s="307"/>
    </row>
    <row r="12" spans="2:15" ht="15">
      <c r="B12" s="227"/>
      <c r="C12" s="238" t="s">
        <v>212</v>
      </c>
      <c r="D12" s="239">
        <f>SUM(D5:D10)</f>
        <v>131154.10999999999</v>
      </c>
      <c r="E12" s="204"/>
      <c r="F12" s="219"/>
      <c r="G12" s="236" t="s">
        <v>213</v>
      </c>
      <c r="H12" s="237">
        <f>SUM(H5:H11)</f>
        <v>94080.62</v>
      </c>
      <c r="J12" s="251"/>
      <c r="K12" s="183" t="s">
        <v>261</v>
      </c>
      <c r="L12" s="303"/>
    </row>
    <row r="13" spans="2:15" ht="15">
      <c r="B13" s="78"/>
      <c r="C13" s="17"/>
      <c r="D13" s="205"/>
      <c r="E13" s="204"/>
      <c r="F13" s="78"/>
      <c r="G13" s="17"/>
      <c r="H13" s="208"/>
      <c r="J13" s="252"/>
      <c r="K13" s="184" t="s">
        <v>275</v>
      </c>
      <c r="L13" s="308">
        <v>34000</v>
      </c>
    </row>
    <row r="14" spans="2:15" ht="15">
      <c r="B14" s="230" t="s">
        <v>215</v>
      </c>
      <c r="C14" s="228"/>
      <c r="D14" s="229"/>
      <c r="E14" s="204"/>
      <c r="F14" s="220" t="s">
        <v>214</v>
      </c>
      <c r="G14" s="221"/>
      <c r="H14" s="222"/>
      <c r="J14" s="252"/>
      <c r="K14" s="184" t="s">
        <v>20</v>
      </c>
      <c r="L14" s="303">
        <v>1001055</v>
      </c>
    </row>
    <row r="15" spans="2:15" ht="15">
      <c r="B15" s="226"/>
      <c r="C15" s="17" t="s">
        <v>217</v>
      </c>
      <c r="D15" s="318">
        <v>147176.57999999999</v>
      </c>
      <c r="E15" s="204"/>
      <c r="F15" s="218"/>
      <c r="G15" s="215" t="s">
        <v>216</v>
      </c>
      <c r="H15" s="208">
        <v>314214</v>
      </c>
      <c r="J15" s="251"/>
      <c r="K15" s="182" t="s">
        <v>276</v>
      </c>
      <c r="L15" s="304">
        <v>5414</v>
      </c>
    </row>
    <row r="16" spans="2:15" ht="15">
      <c r="B16" s="226"/>
      <c r="C16" s="17" t="s">
        <v>256</v>
      </c>
      <c r="D16" s="210">
        <v>770463.67</v>
      </c>
      <c r="E16" s="204"/>
      <c r="F16" s="218"/>
      <c r="G16" s="216" t="s">
        <v>281</v>
      </c>
      <c r="H16" s="208">
        <v>30561</v>
      </c>
      <c r="J16" s="251"/>
      <c r="K16" s="182" t="s">
        <v>19</v>
      </c>
      <c r="L16" s="304">
        <v>136102</v>
      </c>
    </row>
    <row r="17" spans="2:13" ht="15">
      <c r="B17" s="226"/>
      <c r="C17" s="248" t="s">
        <v>290</v>
      </c>
      <c r="D17" s="210">
        <v>162148.62</v>
      </c>
      <c r="E17" s="204"/>
      <c r="F17" s="218"/>
      <c r="G17" s="215" t="s">
        <v>218</v>
      </c>
      <c r="H17" s="208">
        <v>457179</v>
      </c>
      <c r="J17" s="251"/>
      <c r="K17" s="182" t="s">
        <v>44</v>
      </c>
      <c r="L17" s="304">
        <v>24447</v>
      </c>
    </row>
    <row r="18" spans="2:13" ht="15">
      <c r="B18" s="226"/>
      <c r="C18" s="17" t="s">
        <v>220</v>
      </c>
      <c r="D18" s="210">
        <v>1576869.73</v>
      </c>
      <c r="E18" s="204"/>
      <c r="F18" s="218"/>
      <c r="G18" s="215"/>
      <c r="H18" s="208"/>
      <c r="J18" s="251"/>
      <c r="K18" s="182" t="s">
        <v>47</v>
      </c>
      <c r="L18" s="304">
        <v>91063</v>
      </c>
    </row>
    <row r="19" spans="2:13" ht="15">
      <c r="B19" s="226"/>
      <c r="C19" s="248" t="s">
        <v>36</v>
      </c>
      <c r="D19" s="210"/>
      <c r="E19" s="204"/>
      <c r="F19" s="218"/>
      <c r="G19" s="17"/>
      <c r="H19" s="208"/>
      <c r="J19" s="251"/>
      <c r="K19" s="182" t="s">
        <v>33</v>
      </c>
      <c r="L19" s="304">
        <v>41851</v>
      </c>
    </row>
    <row r="20" spans="2:13" ht="15">
      <c r="B20" s="226"/>
      <c r="C20" s="17"/>
      <c r="D20" s="210"/>
      <c r="E20" s="204"/>
      <c r="F20" s="219"/>
      <c r="G20" s="236" t="s">
        <v>219</v>
      </c>
      <c r="H20" s="237">
        <f>SUM(H15:H19)</f>
        <v>801954</v>
      </c>
      <c r="J20" s="251"/>
      <c r="K20" s="182" t="s">
        <v>37</v>
      </c>
      <c r="L20" s="304">
        <v>59111</v>
      </c>
    </row>
    <row r="21" spans="2:13" ht="15">
      <c r="B21" s="226"/>
      <c r="C21" s="17"/>
      <c r="D21" s="210"/>
      <c r="E21" s="204"/>
      <c r="F21" s="209"/>
      <c r="G21" s="17"/>
      <c r="H21" s="208"/>
      <c r="J21" s="251"/>
      <c r="K21" s="182" t="s">
        <v>43</v>
      </c>
      <c r="L21" s="304">
        <v>250922</v>
      </c>
    </row>
    <row r="22" spans="2:13" ht="15">
      <c r="B22" s="227"/>
      <c r="C22" s="238" t="s">
        <v>222</v>
      </c>
      <c r="D22" s="240">
        <f>SUM(D15:D20)</f>
        <v>2656658.6</v>
      </c>
      <c r="E22" s="204"/>
      <c r="F22" s="211"/>
      <c r="G22" s="241" t="s">
        <v>221</v>
      </c>
      <c r="H22" s="242">
        <f>H12+H20</f>
        <v>896034.62</v>
      </c>
      <c r="J22" s="251"/>
      <c r="K22" s="182" t="s">
        <v>71</v>
      </c>
      <c r="L22" s="304">
        <v>44842</v>
      </c>
    </row>
    <row r="23" spans="2:13" ht="15">
      <c r="B23" s="17"/>
      <c r="C23" s="17"/>
      <c r="D23" s="203"/>
      <c r="J23" s="251"/>
      <c r="K23" s="182"/>
      <c r="L23" s="304"/>
    </row>
    <row r="24" spans="2:13" ht="15">
      <c r="B24" s="217"/>
      <c r="C24" s="52"/>
      <c r="D24" s="245"/>
      <c r="F24" s="212" t="s">
        <v>282</v>
      </c>
      <c r="G24" s="213"/>
      <c r="H24" s="214"/>
      <c r="J24" s="252"/>
      <c r="K24" s="206" t="s">
        <v>262</v>
      </c>
      <c r="L24" s="309">
        <v>1708807</v>
      </c>
    </row>
    <row r="25" spans="2:13" ht="15">
      <c r="B25" s="78"/>
      <c r="C25" s="17"/>
      <c r="D25" s="210"/>
      <c r="E25" s="204"/>
      <c r="F25" s="246"/>
      <c r="G25" s="231" t="s">
        <v>224</v>
      </c>
      <c r="H25" s="232">
        <f>D27-H22</f>
        <v>1891778.0899999999</v>
      </c>
      <c r="J25" s="252"/>
      <c r="K25" s="17"/>
      <c r="L25" s="303"/>
    </row>
    <row r="26" spans="2:13" ht="15">
      <c r="B26" s="78"/>
      <c r="C26" s="17"/>
      <c r="D26" s="210"/>
      <c r="E26" s="204"/>
      <c r="F26" s="78"/>
      <c r="G26" s="17"/>
      <c r="H26" s="205"/>
      <c r="J26" s="252"/>
      <c r="K26" s="185" t="s">
        <v>263</v>
      </c>
      <c r="L26" s="303">
        <v>173658</v>
      </c>
    </row>
    <row r="27" spans="2:13" ht="15">
      <c r="B27" s="243" t="s">
        <v>223</v>
      </c>
      <c r="C27" s="244"/>
      <c r="D27" s="235">
        <f>D12+D22</f>
        <v>2787812.71</v>
      </c>
      <c r="E27" s="204"/>
      <c r="F27" s="233" t="s">
        <v>225</v>
      </c>
      <c r="G27" s="234"/>
      <c r="H27" s="235">
        <f>H25+H22</f>
        <v>2787812.71</v>
      </c>
      <c r="J27" s="251"/>
      <c r="K27" s="186" t="s">
        <v>264</v>
      </c>
      <c r="L27" s="304"/>
    </row>
    <row r="28" spans="2:13" ht="15">
      <c r="J28" s="252"/>
      <c r="K28" s="185" t="s">
        <v>74</v>
      </c>
      <c r="L28" s="303">
        <v>122642</v>
      </c>
    </row>
    <row r="29" spans="2:13" ht="15">
      <c r="C29" s="270"/>
      <c r="D29" s="271" t="s">
        <v>344</v>
      </c>
      <c r="E29" s="148">
        <v>1057</v>
      </c>
      <c r="J29" s="252"/>
      <c r="K29" s="185"/>
      <c r="L29" s="303"/>
    </row>
    <row r="30" spans="2:13" ht="15">
      <c r="J30" s="198" t="s">
        <v>265</v>
      </c>
      <c r="K30" s="199"/>
      <c r="L30" s="310">
        <f>SUM(L26:L29)+L24</f>
        <v>2005107</v>
      </c>
    </row>
    <row r="31" spans="2:13">
      <c r="I31" s="319"/>
      <c r="J31" s="184"/>
      <c r="K31" s="184"/>
      <c r="L31" s="306"/>
      <c r="M31" s="17"/>
    </row>
    <row r="32" spans="2:13" ht="15">
      <c r="J32" s="196" t="s">
        <v>266</v>
      </c>
      <c r="K32" s="197"/>
      <c r="L32" s="305">
        <f>L9-L30</f>
        <v>379919</v>
      </c>
    </row>
    <row r="33" spans="10:12">
      <c r="J33" s="185"/>
      <c r="K33" s="184"/>
      <c r="L33" s="306"/>
    </row>
    <row r="34" spans="10:12">
      <c r="J34" s="190" t="s">
        <v>267</v>
      </c>
      <c r="K34" s="191"/>
      <c r="L34" s="311"/>
    </row>
    <row r="35" spans="10:12">
      <c r="J35" s="185"/>
      <c r="K35" s="184"/>
      <c r="L35" s="306"/>
    </row>
    <row r="36" spans="10:12" ht="15">
      <c r="J36" s="196" t="s">
        <v>268</v>
      </c>
      <c r="K36" s="197"/>
      <c r="L36" s="305">
        <f>L32+L34</f>
        <v>379919</v>
      </c>
    </row>
    <row r="37" spans="10:12">
      <c r="J37" s="184"/>
      <c r="K37" s="184"/>
      <c r="L37" s="306"/>
    </row>
    <row r="38" spans="10:12">
      <c r="J38" s="187" t="s">
        <v>269</v>
      </c>
      <c r="K38" s="188"/>
      <c r="L38" s="312"/>
    </row>
    <row r="39" spans="10:12">
      <c r="J39" s="189"/>
      <c r="K39" s="186" t="s">
        <v>270</v>
      </c>
      <c r="L39" s="304"/>
    </row>
    <row r="40" spans="10:12">
      <c r="J40" s="189"/>
      <c r="K40" s="186" t="s">
        <v>271</v>
      </c>
      <c r="L40" s="304"/>
    </row>
    <row r="41" spans="10:12" ht="15">
      <c r="J41" s="192" t="s">
        <v>272</v>
      </c>
      <c r="K41" s="193"/>
      <c r="L41" s="313">
        <f>SUM(L39:L40)</f>
        <v>0</v>
      </c>
    </row>
    <row r="42" spans="10:12">
      <c r="J42" s="182"/>
      <c r="K42" s="182"/>
      <c r="L42" s="314"/>
    </row>
    <row r="43" spans="10:12" ht="15">
      <c r="J43" s="194" t="s">
        <v>273</v>
      </c>
      <c r="K43" s="195"/>
      <c r="L43" s="315">
        <f>L36-L41</f>
        <v>379919</v>
      </c>
    </row>
  </sheetData>
  <mergeCells count="2">
    <mergeCell ref="J1:O1"/>
    <mergeCell ref="B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Q50"/>
  <sheetViews>
    <sheetView topLeftCell="A2" workbookViewId="0">
      <selection activeCell="D7" sqref="D7"/>
    </sheetView>
  </sheetViews>
  <sheetFormatPr defaultRowHeight="12.75"/>
  <cols>
    <col min="3" max="3" width="11.28515625" bestFit="1" customWidth="1"/>
    <col min="6" max="6" width="11.85546875" bestFit="1" customWidth="1"/>
    <col min="9" max="9" width="11.42578125" bestFit="1" customWidth="1"/>
    <col min="13" max="13" width="7.28515625" bestFit="1" customWidth="1"/>
    <col min="15" max="15" width="11.28515625" bestFit="1" customWidth="1"/>
  </cols>
  <sheetData>
    <row r="2" spans="1:16">
      <c r="B2" s="167"/>
      <c r="C2" s="167"/>
    </row>
    <row r="3" spans="1:16">
      <c r="A3" s="1" t="s">
        <v>226</v>
      </c>
      <c r="B3" s="168"/>
      <c r="C3" s="168">
        <v>28079458</v>
      </c>
      <c r="D3" s="168"/>
      <c r="E3" s="168"/>
      <c r="F3" s="168">
        <v>30769301</v>
      </c>
      <c r="G3" s="168"/>
      <c r="H3" s="168"/>
      <c r="I3" s="168">
        <v>31720880</v>
      </c>
      <c r="J3" s="168"/>
      <c r="K3" s="168"/>
      <c r="L3" s="168"/>
      <c r="M3" s="168"/>
      <c r="N3" s="168"/>
      <c r="O3" s="168">
        <f>C3+F3+I3+L3</f>
        <v>90569639</v>
      </c>
      <c r="P3" s="168"/>
    </row>
    <row r="4" spans="1:16">
      <c r="B4" s="1"/>
      <c r="C4" s="1" t="s">
        <v>227</v>
      </c>
      <c r="D4" s="1"/>
      <c r="E4" s="1"/>
      <c r="F4" s="1" t="s">
        <v>228</v>
      </c>
      <c r="G4" s="1"/>
      <c r="H4" s="1"/>
      <c r="I4" s="1" t="s">
        <v>229</v>
      </c>
      <c r="J4" s="1"/>
      <c r="K4" s="1"/>
      <c r="L4" s="1" t="s">
        <v>280</v>
      </c>
      <c r="M4" s="1"/>
      <c r="N4" s="1"/>
      <c r="O4" s="169" t="s">
        <v>230</v>
      </c>
      <c r="P4" s="1"/>
    </row>
    <row r="5" spans="1:16">
      <c r="O5" s="168"/>
    </row>
    <row r="6" spans="1:16">
      <c r="A6" s="1" t="s">
        <v>231</v>
      </c>
      <c r="O6" s="168"/>
    </row>
    <row r="7" spans="1:16">
      <c r="A7" t="s">
        <v>232</v>
      </c>
      <c r="B7" s="168"/>
      <c r="C7" s="168">
        <v>3657475</v>
      </c>
      <c r="D7" s="170">
        <f>C7/C3*100</f>
        <v>13.025447286055163</v>
      </c>
      <c r="E7" s="170"/>
      <c r="F7" s="168">
        <v>3727566</v>
      </c>
      <c r="G7" s="170">
        <f>F7/F3*100</f>
        <v>12.114561848512581</v>
      </c>
      <c r="H7" s="170"/>
      <c r="I7" s="168">
        <v>3946685</v>
      </c>
      <c r="J7" s="170">
        <f>I7/I3*100</f>
        <v>12.441915230598898</v>
      </c>
      <c r="K7" s="170"/>
      <c r="L7" s="168">
        <v>0</v>
      </c>
      <c r="M7" s="170" t="e">
        <f>L7/L3*100</f>
        <v>#DIV/0!</v>
      </c>
      <c r="N7" s="170"/>
      <c r="O7" s="168">
        <f t="shared" ref="O7:O13" si="0">C7+F7+I7+L7</f>
        <v>11331726</v>
      </c>
      <c r="P7" s="170">
        <f>O7/O3*100</f>
        <v>12.511616613598294</v>
      </c>
    </row>
    <row r="8" spans="1:16">
      <c r="A8" t="s">
        <v>233</v>
      </c>
      <c r="B8" s="168"/>
      <c r="C8" s="168">
        <v>134354</v>
      </c>
      <c r="D8" s="170">
        <f>C8/C3*100</f>
        <v>0.47847789654629369</v>
      </c>
      <c r="E8" s="170"/>
      <c r="F8" s="168">
        <v>237561</v>
      </c>
      <c r="G8" s="170">
        <f>F8/F3*100</f>
        <v>0.77207148774682921</v>
      </c>
      <c r="H8" s="170"/>
      <c r="I8" s="168">
        <v>263275</v>
      </c>
      <c r="J8" s="170">
        <f>I8/I3*100</f>
        <v>0.82997382165942435</v>
      </c>
      <c r="K8" s="170"/>
      <c r="L8" s="168">
        <v>0</v>
      </c>
      <c r="M8" s="170" t="e">
        <f>L8/L3*100</f>
        <v>#DIV/0!</v>
      </c>
      <c r="N8" s="170"/>
      <c r="O8" s="168">
        <f t="shared" si="0"/>
        <v>635190</v>
      </c>
      <c r="P8" s="170">
        <f>O8/O3*100</f>
        <v>0.70132773743307075</v>
      </c>
    </row>
    <row r="9" spans="1:16">
      <c r="A9" t="s">
        <v>234</v>
      </c>
      <c r="B9" s="168"/>
      <c r="C9" s="168">
        <v>271776</v>
      </c>
      <c r="D9" s="170">
        <f>C9/C3*100</f>
        <v>0.96788192991474409</v>
      </c>
      <c r="E9" s="170"/>
      <c r="F9" s="168">
        <v>137597</v>
      </c>
      <c r="G9" s="170">
        <f>F9/F3*100</f>
        <v>0.44718922929058419</v>
      </c>
      <c r="H9" s="170"/>
      <c r="I9" s="168">
        <v>142473</v>
      </c>
      <c r="J9" s="170">
        <f>I9/I3*100</f>
        <v>0.44914579923381698</v>
      </c>
      <c r="K9" s="170"/>
      <c r="L9" s="168">
        <v>0</v>
      </c>
      <c r="M9" s="170" t="e">
        <f>L9/L3*100</f>
        <v>#DIV/0!</v>
      </c>
      <c r="N9" s="170"/>
      <c r="O9" s="168">
        <f t="shared" si="0"/>
        <v>551846</v>
      </c>
      <c r="P9" s="170">
        <f>O9/O3*100</f>
        <v>0.60930572992567633</v>
      </c>
    </row>
    <row r="10" spans="1:16">
      <c r="A10" t="s">
        <v>235</v>
      </c>
      <c r="B10" s="168"/>
      <c r="C10" s="168">
        <v>0</v>
      </c>
      <c r="D10" s="170">
        <f>C10/C3*100</f>
        <v>0</v>
      </c>
      <c r="E10" s="170"/>
      <c r="F10" s="168">
        <v>65604</v>
      </c>
      <c r="G10" s="170">
        <f>F10/F3*100</f>
        <v>0.21321251334243829</v>
      </c>
      <c r="H10" s="170"/>
      <c r="I10" s="168"/>
      <c r="J10" s="170"/>
      <c r="K10" s="170"/>
      <c r="L10" s="168">
        <v>0</v>
      </c>
      <c r="M10" s="170" t="e">
        <f>L10/L3*100</f>
        <v>#DIV/0!</v>
      </c>
      <c r="N10" s="170"/>
      <c r="O10" s="168">
        <f t="shared" si="0"/>
        <v>65604</v>
      </c>
      <c r="P10" s="170">
        <f>O10/O3*100</f>
        <v>7.2434869702859256E-2</v>
      </c>
    </row>
    <row r="11" spans="1:16">
      <c r="A11" t="s">
        <v>236</v>
      </c>
      <c r="B11" s="168"/>
      <c r="C11" s="168">
        <v>64794</v>
      </c>
      <c r="D11" s="170">
        <f>C11/C3*100</f>
        <v>0.23075231722777556</v>
      </c>
      <c r="E11" s="170"/>
      <c r="F11" s="168">
        <v>159032</v>
      </c>
      <c r="G11" s="170">
        <f>F11/F3*100</f>
        <v>0.51685282028343771</v>
      </c>
      <c r="H11" s="170"/>
      <c r="I11" s="168">
        <v>36650</v>
      </c>
      <c r="J11" s="171">
        <f>I11/I3*100</f>
        <v>0.11553903927003287</v>
      </c>
      <c r="K11" s="170"/>
      <c r="L11" s="168">
        <v>0</v>
      </c>
      <c r="M11" s="170" t="e">
        <f>L11/L3*100</f>
        <v>#DIV/0!</v>
      </c>
      <c r="N11" s="170"/>
      <c r="O11" s="168">
        <f t="shared" si="0"/>
        <v>260476</v>
      </c>
      <c r="P11" s="170">
        <f>O11/O3*100</f>
        <v>0.28759748065242924</v>
      </c>
    </row>
    <row r="12" spans="1:16">
      <c r="A12" t="s">
        <v>237</v>
      </c>
      <c r="B12" s="168"/>
      <c r="C12" s="168">
        <v>52932</v>
      </c>
      <c r="D12" s="170">
        <f>C12/C3*100</f>
        <v>0.18850791208291842</v>
      </c>
      <c r="E12" s="170"/>
      <c r="F12" s="168">
        <v>20557</v>
      </c>
      <c r="G12" s="170">
        <f>F12/F3*100</f>
        <v>6.6810097505952445E-2</v>
      </c>
      <c r="H12" s="170"/>
      <c r="I12" s="168">
        <v>5567</v>
      </c>
      <c r="J12" s="170">
        <f>I12/I3*100</f>
        <v>1.7549954477933775E-2</v>
      </c>
      <c r="K12" s="170"/>
      <c r="L12" s="168">
        <v>0</v>
      </c>
      <c r="M12" s="170" t="e">
        <f>L12/L3*100</f>
        <v>#DIV/0!</v>
      </c>
      <c r="N12" s="170"/>
      <c r="O12" s="168">
        <f t="shared" si="0"/>
        <v>79056</v>
      </c>
      <c r="P12" s="170">
        <f>O12/O3*100</f>
        <v>8.7287529102329758E-2</v>
      </c>
    </row>
    <row r="13" spans="1:16">
      <c r="A13" s="172" t="s">
        <v>238</v>
      </c>
      <c r="B13" s="168"/>
      <c r="C13" s="168">
        <f>SUM(C8:C12)+C7</f>
        <v>4181331</v>
      </c>
      <c r="D13" s="170">
        <f>C13/C3*100</f>
        <v>14.891067341826897</v>
      </c>
      <c r="E13" s="170"/>
      <c r="F13" s="168">
        <f>SUM(F8:F12)+F7</f>
        <v>4347917</v>
      </c>
      <c r="G13" s="170">
        <f>F13/F3*100</f>
        <v>14.130697996681823</v>
      </c>
      <c r="H13" s="170"/>
      <c r="I13" s="168">
        <f>SUM(I8:I12)+I7</f>
        <v>4394650</v>
      </c>
      <c r="J13" s="170">
        <f>I13/I3*100</f>
        <v>13.854123845240107</v>
      </c>
      <c r="K13" s="170"/>
      <c r="L13" s="168">
        <v>0</v>
      </c>
      <c r="M13" s="170" t="e">
        <f>L13/L3*100</f>
        <v>#DIV/0!</v>
      </c>
      <c r="N13" s="170"/>
      <c r="O13" s="168">
        <f t="shared" si="0"/>
        <v>12923898</v>
      </c>
      <c r="P13" s="170">
        <f>O13/O3*100</f>
        <v>14.26956996041466</v>
      </c>
    </row>
    <row r="14" spans="1:16">
      <c r="D14" s="170"/>
      <c r="E14" s="170"/>
      <c r="G14" s="170"/>
      <c r="H14" s="170"/>
      <c r="I14" s="168"/>
      <c r="J14" s="170"/>
      <c r="K14" s="170"/>
      <c r="L14" s="168"/>
      <c r="M14" s="170"/>
      <c r="N14" s="170"/>
      <c r="O14" s="168"/>
      <c r="P14" s="170"/>
    </row>
    <row r="15" spans="1:16">
      <c r="D15" s="170"/>
      <c r="E15" s="170"/>
      <c r="G15" s="170"/>
      <c r="H15" s="170"/>
      <c r="I15" s="168"/>
      <c r="J15" s="170"/>
      <c r="K15" s="170"/>
      <c r="L15" s="168"/>
      <c r="M15" s="170"/>
      <c r="N15" s="170"/>
      <c r="O15" s="168"/>
      <c r="P15" s="170"/>
    </row>
    <row r="16" spans="1:16">
      <c r="D16" s="170"/>
      <c r="E16" s="170"/>
      <c r="G16" s="170"/>
      <c r="H16" s="170"/>
      <c r="I16" s="168"/>
      <c r="J16" s="170"/>
      <c r="K16" s="170"/>
      <c r="L16" s="168"/>
      <c r="M16" s="170"/>
      <c r="N16" s="170"/>
      <c r="O16" s="168"/>
      <c r="P16" s="170"/>
    </row>
    <row r="17" spans="1:17">
      <c r="A17" s="1" t="s">
        <v>239</v>
      </c>
      <c r="D17" s="170"/>
      <c r="E17" s="358" t="s">
        <v>345</v>
      </c>
      <c r="G17" s="170"/>
      <c r="H17" s="358" t="s">
        <v>345</v>
      </c>
      <c r="I17" s="168"/>
      <c r="J17" s="170"/>
      <c r="K17" s="358" t="s">
        <v>345</v>
      </c>
      <c r="L17" s="168"/>
      <c r="M17" s="170"/>
      <c r="N17" s="170"/>
      <c r="O17" s="168"/>
      <c r="P17" s="170"/>
    </row>
    <row r="18" spans="1:17">
      <c r="A18" t="s">
        <v>240</v>
      </c>
      <c r="B18" s="168"/>
      <c r="C18" s="173">
        <v>2468410</v>
      </c>
      <c r="D18" s="170">
        <f>C18/C3*100</f>
        <v>8.7908035831745757</v>
      </c>
      <c r="E18" s="357">
        <f>C18/$C$39</f>
        <v>0.44941293806614485</v>
      </c>
      <c r="F18" s="173">
        <v>2423167</v>
      </c>
      <c r="G18" s="170">
        <f>F18/F3*100</f>
        <v>7.8752747746853276</v>
      </c>
      <c r="H18" s="357">
        <f>F18/$F$39</f>
        <v>0.44214002921608847</v>
      </c>
      <c r="I18" s="168">
        <v>2340188</v>
      </c>
      <c r="J18" s="170">
        <f>I18/I3*100</f>
        <v>7.3774371959416012</v>
      </c>
      <c r="K18" s="357">
        <f>I18/$I$39</f>
        <v>0.43781226696320763</v>
      </c>
      <c r="L18" s="168">
        <v>0</v>
      </c>
      <c r="M18" s="170" t="e">
        <f>L18/L3*100</f>
        <v>#DIV/0!</v>
      </c>
      <c r="N18" s="170"/>
      <c r="O18" s="168">
        <f t="shared" ref="O18:O34" si="1">C18+F18+I18+L18</f>
        <v>7231765</v>
      </c>
      <c r="P18" s="170">
        <f>O18/O3*100</f>
        <v>7.9847563486479176</v>
      </c>
      <c r="Q18" s="357">
        <f>O18/$O$39</f>
        <v>0.44317040388340684</v>
      </c>
    </row>
    <row r="19" spans="1:17">
      <c r="A19" t="s">
        <v>241</v>
      </c>
      <c r="B19" s="168"/>
      <c r="C19" s="173">
        <v>140442</v>
      </c>
      <c r="D19" s="170">
        <f>C19/C3*100</f>
        <v>0.50015922672011692</v>
      </c>
      <c r="E19" s="357">
        <f t="shared" ref="E19:E34" si="2">C19/$C$39</f>
        <v>2.5569679205596118E-2</v>
      </c>
      <c r="F19" s="173">
        <v>141712</v>
      </c>
      <c r="G19" s="170">
        <f>F19/F3*100</f>
        <v>0.46056294876506942</v>
      </c>
      <c r="H19" s="357">
        <f t="shared" ref="H19:H34" si="3">F19/$F$39</f>
        <v>2.5857296595847637E-2</v>
      </c>
      <c r="I19" s="168">
        <v>139810</v>
      </c>
      <c r="J19" s="170">
        <f>I19/I3*100</f>
        <v>0.44075069796298211</v>
      </c>
      <c r="K19" s="357">
        <f t="shared" ref="K19:K34" si="4">I19/$I$39</f>
        <v>2.6156246012767375E-2</v>
      </c>
      <c r="L19" s="168"/>
      <c r="M19" s="170" t="e">
        <f>L19/L3*100</f>
        <v>#DIV/0!</v>
      </c>
      <c r="N19" s="170"/>
      <c r="O19" s="168">
        <f t="shared" si="1"/>
        <v>421964</v>
      </c>
      <c r="P19" s="170">
        <f>O19/O3*100</f>
        <v>0.46590005730286721</v>
      </c>
      <c r="Q19" s="357">
        <f t="shared" ref="Q19:Q34" si="5">O19/$O$39</f>
        <v>2.5858411646984918E-2</v>
      </c>
    </row>
    <row r="20" spans="1:17">
      <c r="A20" t="s">
        <v>242</v>
      </c>
      <c r="B20" s="168"/>
      <c r="C20" s="168">
        <v>689861</v>
      </c>
      <c r="D20" s="170">
        <f>C20/C3*100</f>
        <v>2.4568173644947136</v>
      </c>
      <c r="E20" s="357">
        <f t="shared" si="2"/>
        <v>0.12560006598063075</v>
      </c>
      <c r="F20" s="168">
        <v>673372</v>
      </c>
      <c r="G20" s="170">
        <f>F20/F3*100</f>
        <v>2.188454004853734</v>
      </c>
      <c r="H20" s="357">
        <f t="shared" si="3"/>
        <v>0.12286595011953197</v>
      </c>
      <c r="I20" s="168">
        <v>647362</v>
      </c>
      <c r="J20" s="170">
        <f>I20/I3*100</f>
        <v>2.0408071907210643</v>
      </c>
      <c r="K20" s="357">
        <f t="shared" si="4"/>
        <v>0.12111122045144922</v>
      </c>
      <c r="L20" s="168">
        <v>0</v>
      </c>
      <c r="M20" s="170" t="e">
        <f>L20/L3*100</f>
        <v>#DIV/0!</v>
      </c>
      <c r="N20" s="170"/>
      <c r="O20" s="168">
        <f t="shared" si="1"/>
        <v>2010595</v>
      </c>
      <c r="P20" s="170">
        <f>O20/O3*100</f>
        <v>2.2199437054176618</v>
      </c>
      <c r="Q20" s="357">
        <f t="shared" si="5"/>
        <v>0.12321144260024468</v>
      </c>
    </row>
    <row r="21" spans="1:17">
      <c r="A21" t="s">
        <v>38</v>
      </c>
      <c r="B21" s="168"/>
      <c r="C21" s="168">
        <v>673696</v>
      </c>
      <c r="D21" s="170">
        <f>C21/C3*100</f>
        <v>2.3992485894848823</v>
      </c>
      <c r="E21" s="357">
        <f t="shared" si="2"/>
        <v>0.12265697300019426</v>
      </c>
      <c r="F21" s="168">
        <v>644006</v>
      </c>
      <c r="G21" s="170">
        <f>F21/F3*100</f>
        <v>2.0930147226938955</v>
      </c>
      <c r="H21" s="357">
        <f t="shared" si="3"/>
        <v>0.11750772095168689</v>
      </c>
      <c r="I21" s="168">
        <v>745633</v>
      </c>
      <c r="J21" s="170">
        <f>I21/I3*100</f>
        <v>2.350606288350134</v>
      </c>
      <c r="K21" s="357">
        <f t="shared" si="4"/>
        <v>0.13949617468877604</v>
      </c>
      <c r="L21" s="168">
        <v>0</v>
      </c>
      <c r="M21" s="170" t="e">
        <f>L21/L3*100</f>
        <v>#DIV/0!</v>
      </c>
      <c r="N21" s="170"/>
      <c r="O21" s="168">
        <f t="shared" si="1"/>
        <v>2063335</v>
      </c>
      <c r="P21" s="170">
        <f>O21/O3*100</f>
        <v>2.2781751399053274</v>
      </c>
      <c r="Q21" s="357">
        <f t="shared" si="5"/>
        <v>0.12644340701015164</v>
      </c>
    </row>
    <row r="22" spans="1:17">
      <c r="A22" t="s">
        <v>243</v>
      </c>
      <c r="B22" s="168"/>
      <c r="C22" s="173">
        <v>552157</v>
      </c>
      <c r="D22" s="170">
        <f>C22/C3*100</f>
        <v>1.9664090382371342</v>
      </c>
      <c r="E22" s="357">
        <f t="shared" si="2"/>
        <v>0.10052888282083947</v>
      </c>
      <c r="F22" s="173">
        <v>550653</v>
      </c>
      <c r="G22" s="170">
        <f>F22/F3*100</f>
        <v>1.7896181651965377</v>
      </c>
      <c r="H22" s="357">
        <f t="shared" si="3"/>
        <v>0.10047418667715712</v>
      </c>
      <c r="I22" s="168">
        <v>507611</v>
      </c>
      <c r="J22" s="170">
        <f>I22/I3*100</f>
        <v>1.6002424901200722</v>
      </c>
      <c r="K22" s="357">
        <f t="shared" si="4"/>
        <v>9.4966012408174386E-2</v>
      </c>
      <c r="L22" s="168">
        <v>0</v>
      </c>
      <c r="M22" s="170" t="e">
        <f>L22/L3*100</f>
        <v>#DIV/0!</v>
      </c>
      <c r="N22" s="170"/>
      <c r="O22" s="168">
        <f t="shared" si="1"/>
        <v>1610421</v>
      </c>
      <c r="P22" s="170">
        <f>O22/O3*100</f>
        <v>1.7781024831069494</v>
      </c>
      <c r="Q22" s="357">
        <f t="shared" si="5"/>
        <v>9.8688345790041571E-2</v>
      </c>
    </row>
    <row r="23" spans="1:17">
      <c r="A23" t="s">
        <v>244</v>
      </c>
      <c r="B23" s="168"/>
      <c r="C23" s="173">
        <v>171777</v>
      </c>
      <c r="D23" s="170">
        <f>C23/C3*100</f>
        <v>0.61175326104941197</v>
      </c>
      <c r="E23" s="357">
        <f t="shared" si="2"/>
        <v>3.1274709737113431E-2</v>
      </c>
      <c r="F23" s="173">
        <v>180849</v>
      </c>
      <c r="G23" s="170">
        <f>F23/F3*100</f>
        <v>0.58775790844257403</v>
      </c>
      <c r="H23" s="357">
        <f t="shared" si="3"/>
        <v>3.2998378627515305E-2</v>
      </c>
      <c r="I23" s="168">
        <v>180410</v>
      </c>
      <c r="J23" s="170">
        <f>I23/I3*100</f>
        <v>0.56874210299335959</v>
      </c>
      <c r="K23" s="357">
        <f t="shared" si="4"/>
        <v>3.3751865697470587E-2</v>
      </c>
      <c r="L23" s="168">
        <v>0</v>
      </c>
      <c r="M23" s="170" t="e">
        <f>L23/L3*100</f>
        <v>#DIV/0!</v>
      </c>
      <c r="N23" s="170"/>
      <c r="O23" s="168">
        <f t="shared" si="1"/>
        <v>533036</v>
      </c>
      <c r="P23" s="170">
        <f>O23/O3*100</f>
        <v>0.58853718076539974</v>
      </c>
      <c r="Q23" s="357">
        <f t="shared" si="5"/>
        <v>3.2665024292741214E-2</v>
      </c>
    </row>
    <row r="24" spans="1:17">
      <c r="A24" t="s">
        <v>13</v>
      </c>
      <c r="B24" s="168"/>
      <c r="C24" s="168">
        <v>34448</v>
      </c>
      <c r="D24" s="170">
        <f>C24/C3*100</f>
        <v>0.12268043065503614</v>
      </c>
      <c r="E24" s="357">
        <f t="shared" si="2"/>
        <v>6.2718012366270422E-3</v>
      </c>
      <c r="F24" s="168">
        <v>40377</v>
      </c>
      <c r="G24" s="170">
        <f>F24/F3*100</f>
        <v>0.13122495047905053</v>
      </c>
      <c r="H24" s="357">
        <f t="shared" si="3"/>
        <v>7.3673370261554422E-3</v>
      </c>
      <c r="I24" s="168">
        <v>26352</v>
      </c>
      <c r="J24" s="170">
        <f>I24/I3*100</f>
        <v>8.3074618358633168E-2</v>
      </c>
      <c r="K24" s="357">
        <f t="shared" si="4"/>
        <v>4.9300435943669691E-3</v>
      </c>
      <c r="L24" s="168">
        <v>0</v>
      </c>
      <c r="M24" s="170" t="e">
        <f>L24/L3*100</f>
        <v>#DIV/0!</v>
      </c>
      <c r="N24" s="170"/>
      <c r="O24" s="168">
        <f t="shared" si="1"/>
        <v>101177</v>
      </c>
      <c r="P24" s="170">
        <f>O24/O3*100</f>
        <v>0.11171182872883041</v>
      </c>
      <c r="Q24" s="357">
        <f t="shared" si="5"/>
        <v>6.2002363121190273E-3</v>
      </c>
    </row>
    <row r="25" spans="1:17">
      <c r="A25" t="s">
        <v>245</v>
      </c>
      <c r="B25" s="168"/>
      <c r="C25" s="173">
        <v>153551</v>
      </c>
      <c r="D25" s="170">
        <f>C25/C3*100</f>
        <v>0.54684460077541386</v>
      </c>
      <c r="E25" s="357">
        <f t="shared" si="2"/>
        <v>2.7956379229137223E-2</v>
      </c>
      <c r="F25" s="173">
        <v>158649</v>
      </c>
      <c r="G25" s="170">
        <f>F25/F3*100</f>
        <v>0.51560807312457313</v>
      </c>
      <c r="H25" s="357">
        <f t="shared" si="3"/>
        <v>2.8947684371363271E-2</v>
      </c>
      <c r="I25" s="168">
        <v>120710</v>
      </c>
      <c r="J25" s="170">
        <f>I25/I3*100</f>
        <v>0.38053799264080945</v>
      </c>
      <c r="K25" s="357">
        <f t="shared" si="4"/>
        <v>2.2582937244840496E-2</v>
      </c>
      <c r="L25" s="168">
        <v>0</v>
      </c>
      <c r="M25" s="170" t="e">
        <f>L25/L3*100</f>
        <v>#DIV/0!</v>
      </c>
      <c r="N25" s="170"/>
      <c r="O25" s="168">
        <f t="shared" si="1"/>
        <v>432910</v>
      </c>
      <c r="P25" s="170">
        <f>O25/O3*100</f>
        <v>0.47798578505982559</v>
      </c>
      <c r="Q25" s="357">
        <f t="shared" si="5"/>
        <v>2.6529194400698262E-2</v>
      </c>
    </row>
    <row r="26" spans="1:17">
      <c r="A26" t="s">
        <v>45</v>
      </c>
      <c r="B26" s="168"/>
      <c r="C26" s="168">
        <v>2705</v>
      </c>
      <c r="D26" s="170">
        <f>C26/C3*100</f>
        <v>9.6333768265754981E-3</v>
      </c>
      <c r="E26" s="357">
        <f t="shared" si="2"/>
        <v>4.9248787578600069E-4</v>
      </c>
      <c r="F26" s="168">
        <v>10243</v>
      </c>
      <c r="G26" s="170">
        <f>F26/F3*100</f>
        <v>3.3289674016319055E-2</v>
      </c>
      <c r="H26" s="357">
        <f t="shared" si="3"/>
        <v>1.8689757326921315E-3</v>
      </c>
      <c r="I26" s="168">
        <v>0</v>
      </c>
      <c r="J26" s="170">
        <f>I26/I3*100</f>
        <v>0</v>
      </c>
      <c r="K26" s="357">
        <f t="shared" si="4"/>
        <v>0</v>
      </c>
      <c r="L26" s="168">
        <v>0</v>
      </c>
      <c r="M26" s="170" t="e">
        <f>L26/L3*100</f>
        <v>#DIV/0!</v>
      </c>
      <c r="N26" s="170"/>
      <c r="O26" s="168">
        <f t="shared" si="1"/>
        <v>12948</v>
      </c>
      <c r="P26" s="170">
        <f>O26/O3*100</f>
        <v>1.4296181527233425E-2</v>
      </c>
      <c r="Q26" s="357">
        <f t="shared" si="5"/>
        <v>7.9346748539012974E-4</v>
      </c>
    </row>
    <row r="27" spans="1:17">
      <c r="A27" t="s">
        <v>28</v>
      </c>
      <c r="B27" s="168"/>
      <c r="C27" s="168">
        <v>103456</v>
      </c>
      <c r="D27" s="170">
        <f>C27/C3*100</f>
        <v>0.36844016006291863</v>
      </c>
      <c r="E27" s="357">
        <f t="shared" si="2"/>
        <v>1.8835795074793524E-2</v>
      </c>
      <c r="F27" s="168">
        <v>72622</v>
      </c>
      <c r="G27" s="170">
        <f>F27/F3*100</f>
        <v>0.23602096128215586</v>
      </c>
      <c r="H27" s="357">
        <f t="shared" si="3"/>
        <v>1.325087920136366E-2</v>
      </c>
      <c r="I27" s="168">
        <v>88981</v>
      </c>
      <c r="J27" s="170">
        <f>I27/I3*100</f>
        <v>0.28051239435980341</v>
      </c>
      <c r="K27" s="357">
        <f t="shared" si="4"/>
        <v>1.664694175282207E-2</v>
      </c>
      <c r="L27" s="168">
        <v>0</v>
      </c>
      <c r="M27" s="170" t="e">
        <f>L27/L3*100</f>
        <v>#DIV/0!</v>
      </c>
      <c r="N27" s="170"/>
      <c r="O27" s="168">
        <f t="shared" si="1"/>
        <v>265059</v>
      </c>
      <c r="P27" s="170">
        <f>O27/O3*100</f>
        <v>0.29265767527239456</v>
      </c>
      <c r="Q27" s="357">
        <f t="shared" si="5"/>
        <v>1.6243103043715047E-2</v>
      </c>
    </row>
    <row r="28" spans="1:17">
      <c r="A28" t="s">
        <v>27</v>
      </c>
      <c r="B28" s="168"/>
      <c r="C28" s="168">
        <v>67852</v>
      </c>
      <c r="D28" s="170">
        <f>C28/C3*100</f>
        <v>0.24164284082691337</v>
      </c>
      <c r="E28" s="357">
        <f t="shared" si="2"/>
        <v>1.2353525821749247E-2</v>
      </c>
      <c r="F28" s="168">
        <v>51168</v>
      </c>
      <c r="G28" s="170">
        <f>F28/F3*100</f>
        <v>0.16629562043024637</v>
      </c>
      <c r="H28" s="357">
        <f t="shared" si="3"/>
        <v>9.3363028693147498E-3</v>
      </c>
      <c r="I28" s="168">
        <v>51064</v>
      </c>
      <c r="J28" s="170">
        <f>I28/I3*100</f>
        <v>0.16097914055347773</v>
      </c>
      <c r="K28" s="357">
        <f t="shared" si="4"/>
        <v>9.5532690536868133E-3</v>
      </c>
      <c r="L28" s="168">
        <v>0</v>
      </c>
      <c r="M28" s="170" t="e">
        <f>L28/L3*100</f>
        <v>#DIV/0!</v>
      </c>
      <c r="N28" s="170"/>
      <c r="O28" s="168">
        <f t="shared" si="1"/>
        <v>170084</v>
      </c>
      <c r="P28" s="170">
        <f>O28/O3*100</f>
        <v>0.18779361591581481</v>
      </c>
      <c r="Q28" s="357">
        <f t="shared" si="5"/>
        <v>1.0422932019238093E-2</v>
      </c>
    </row>
    <row r="29" spans="1:17">
      <c r="A29" t="s">
        <v>23</v>
      </c>
      <c r="B29" s="168"/>
      <c r="C29" s="168">
        <v>68257</v>
      </c>
      <c r="D29" s="170">
        <f>C29/C3*100</f>
        <v>0.24308517635917332</v>
      </c>
      <c r="E29" s="357">
        <f t="shared" si="2"/>
        <v>1.2427262453798538E-2</v>
      </c>
      <c r="F29" s="168">
        <v>59004</v>
      </c>
      <c r="G29" s="170">
        <f>F29/F3*100</f>
        <v>0.19176256230195154</v>
      </c>
      <c r="H29" s="357">
        <f t="shared" si="3"/>
        <v>1.076608846351328E-2</v>
      </c>
      <c r="I29" s="168">
        <v>70480</v>
      </c>
      <c r="J29" s="170">
        <f>I29/I3*100</f>
        <v>0.22218803513647792</v>
      </c>
      <c r="K29" s="357">
        <f t="shared" si="4"/>
        <v>1.3185696437878869E-2</v>
      </c>
      <c r="L29" s="168">
        <v>0</v>
      </c>
      <c r="M29" s="170" t="e">
        <f>L29/L3*100</f>
        <v>#DIV/0!</v>
      </c>
      <c r="N29" s="170"/>
      <c r="O29" s="168">
        <f t="shared" si="1"/>
        <v>197741</v>
      </c>
      <c r="P29" s="170">
        <f>O29/O3*100</f>
        <v>0.21833033915482428</v>
      </c>
      <c r="Q29" s="357">
        <f t="shared" si="5"/>
        <v>1.2117782980269514E-2</v>
      </c>
    </row>
    <row r="30" spans="1:17">
      <c r="A30" t="s">
        <v>246</v>
      </c>
      <c r="B30" s="168"/>
      <c r="C30" s="168">
        <v>26802</v>
      </c>
      <c r="D30" s="170">
        <f>C30/C3*100</f>
        <v>9.5450560334889661E-2</v>
      </c>
      <c r="E30" s="357">
        <f t="shared" si="2"/>
        <v>4.8797264498397002E-3</v>
      </c>
      <c r="F30" s="168">
        <v>101532</v>
      </c>
      <c r="G30" s="170">
        <f>F30/F3*100</f>
        <v>0.3299782468246516</v>
      </c>
      <c r="H30" s="357">
        <f t="shared" si="3"/>
        <v>1.8525904919622912E-2</v>
      </c>
      <c r="I30" s="168">
        <v>43457</v>
      </c>
      <c r="J30" s="170">
        <f>I30/I3*100</f>
        <v>0.1369980908474166</v>
      </c>
      <c r="K30" s="357">
        <f t="shared" si="4"/>
        <v>8.1301193260627409E-3</v>
      </c>
      <c r="L30" s="168">
        <v>0</v>
      </c>
      <c r="M30" s="170" t="e">
        <f>L30/L3*100</f>
        <v>#DIV/0!</v>
      </c>
      <c r="N30" s="170"/>
      <c r="O30" s="168">
        <f t="shared" si="1"/>
        <v>171791</v>
      </c>
      <c r="P30" s="170">
        <f>O30/O3*100</f>
        <v>0.18967835347118917</v>
      </c>
      <c r="Q30" s="357">
        <f t="shared" si="5"/>
        <v>1.0527538830912557E-2</v>
      </c>
    </row>
    <row r="31" spans="1:17">
      <c r="A31" t="s">
        <v>247</v>
      </c>
      <c r="B31" s="168"/>
      <c r="C31" s="168">
        <v>22460</v>
      </c>
      <c r="D31" s="170">
        <f>C31/C3*100</f>
        <v>7.9987298900142584E-2</v>
      </c>
      <c r="E31" s="357">
        <f t="shared" si="2"/>
        <v>4.0891969279680494E-3</v>
      </c>
      <c r="F31" s="168">
        <v>23223</v>
      </c>
      <c r="G31" s="170">
        <f>F31/F3*100</f>
        <v>7.5474577729276335E-2</v>
      </c>
      <c r="H31" s="357">
        <f t="shared" si="3"/>
        <v>4.2373546266044494E-3</v>
      </c>
      <c r="I31" s="168">
        <v>27064</v>
      </c>
      <c r="J31" s="170">
        <f>I31/I3*100</f>
        <v>8.5319196693156046E-2</v>
      </c>
      <c r="K31" s="357">
        <f t="shared" si="4"/>
        <v>5.063247565192306E-3</v>
      </c>
      <c r="L31" s="168">
        <v>0</v>
      </c>
      <c r="M31" s="170" t="e">
        <f>L31/L3*100</f>
        <v>#DIV/0!</v>
      </c>
      <c r="N31" s="170"/>
      <c r="O31" s="168">
        <f t="shared" si="1"/>
        <v>72747</v>
      </c>
      <c r="P31" s="170">
        <f>O31/O3*100</f>
        <v>8.0321618594504943E-2</v>
      </c>
      <c r="Q31" s="357">
        <f t="shared" si="5"/>
        <v>4.458015072573044E-3</v>
      </c>
    </row>
    <row r="32" spans="1:17">
      <c r="A32" t="s">
        <v>248</v>
      </c>
      <c r="B32" s="168"/>
      <c r="C32" s="168">
        <v>193471</v>
      </c>
      <c r="D32" s="170">
        <f>C32/C3*100</f>
        <v>0.68901258706631729</v>
      </c>
      <c r="E32" s="357">
        <f t="shared" si="2"/>
        <v>3.5224444294341344E-2</v>
      </c>
      <c r="F32" s="168">
        <v>227853</v>
      </c>
      <c r="G32" s="170">
        <f>F32/F3*100</f>
        <v>0.74052055976182241</v>
      </c>
      <c r="H32" s="357">
        <f t="shared" si="3"/>
        <v>4.1574902628243704E-2</v>
      </c>
      <c r="I32" s="168">
        <v>234397</v>
      </c>
      <c r="J32" s="170">
        <f>I32/I3*100</f>
        <v>0.7389359942094923</v>
      </c>
      <c r="K32" s="357">
        <f t="shared" si="4"/>
        <v>4.3851981951610289E-2</v>
      </c>
      <c r="L32" s="168">
        <v>0</v>
      </c>
      <c r="M32" s="170" t="e">
        <f>L32/L3*100</f>
        <v>#DIV/0!</v>
      </c>
      <c r="N32" s="170"/>
      <c r="O32" s="168">
        <f t="shared" si="1"/>
        <v>655721</v>
      </c>
      <c r="P32" s="170">
        <f>O32/O3*100</f>
        <v>0.72399648186739485</v>
      </c>
      <c r="Q32" s="357">
        <f t="shared" si="5"/>
        <v>4.0183294175741527E-2</v>
      </c>
    </row>
    <row r="33" spans="1:17">
      <c r="A33" t="s">
        <v>249</v>
      </c>
      <c r="B33" s="168"/>
      <c r="C33" s="168">
        <v>102167</v>
      </c>
      <c r="D33" s="170">
        <f>C33/C3*100</f>
        <v>0.36384961561579998</v>
      </c>
      <c r="E33" s="357">
        <f t="shared" si="2"/>
        <v>1.8601112312542821E-2</v>
      </c>
      <c r="F33" s="168">
        <v>104160</v>
      </c>
      <c r="G33" s="170">
        <f>F33/F3*100</f>
        <v>0.33851922732986361</v>
      </c>
      <c r="H33" s="357">
        <f t="shared" si="3"/>
        <v>1.9005419536972802E-2</v>
      </c>
      <c r="I33" s="168">
        <v>94667</v>
      </c>
      <c r="J33" s="170">
        <f>I33/I3*100</f>
        <v>0.29843749605937792</v>
      </c>
      <c r="K33" s="357">
        <f t="shared" si="4"/>
        <v>1.7710702677137896E-2</v>
      </c>
      <c r="L33" s="168">
        <v>0</v>
      </c>
      <c r="M33" s="170" t="e">
        <f>L33/L3*100</f>
        <v>#DIV/0!</v>
      </c>
      <c r="N33" s="170"/>
      <c r="O33" s="168">
        <f t="shared" si="1"/>
        <v>300994</v>
      </c>
      <c r="P33" s="170">
        <f>O33/O3*100</f>
        <v>0.33233432673834551</v>
      </c>
      <c r="Q33" s="357">
        <f t="shared" si="5"/>
        <v>1.8445238824337098E-2</v>
      </c>
    </row>
    <row r="34" spans="1:17">
      <c r="A34" t="s">
        <v>26</v>
      </c>
      <c r="B34" s="168"/>
      <c r="C34" s="168">
        <v>21009</v>
      </c>
      <c r="D34" s="170">
        <f>C34/C3*100</f>
        <v>7.4819820240120016E-2</v>
      </c>
      <c r="E34" s="357">
        <f t="shared" si="2"/>
        <v>3.8250195128976291E-3</v>
      </c>
      <c r="F34" s="168">
        <v>17952</v>
      </c>
      <c r="G34" s="170">
        <f>F34/F3*100</f>
        <v>5.8343866830123957E-2</v>
      </c>
      <c r="H34" s="357">
        <f t="shared" si="3"/>
        <v>3.2755884363261881E-3</v>
      </c>
      <c r="I34" s="168">
        <v>27000</v>
      </c>
      <c r="J34" s="170">
        <f>I34/I3*100</f>
        <v>8.5117436842861868E-2</v>
      </c>
      <c r="K34" s="357">
        <f t="shared" si="4"/>
        <v>5.0512741745563205E-3</v>
      </c>
      <c r="L34" s="168">
        <v>0</v>
      </c>
      <c r="M34" s="170" t="e">
        <f>L34/L3*100</f>
        <v>#DIV/0!</v>
      </c>
      <c r="N34" s="170"/>
      <c r="O34" s="168">
        <f t="shared" si="1"/>
        <v>65961</v>
      </c>
      <c r="P34" s="170">
        <f>O34/O3*100</f>
        <v>7.282904152902718E-2</v>
      </c>
      <c r="Q34" s="357">
        <f t="shared" si="5"/>
        <v>4.0421616314348435E-3</v>
      </c>
    </row>
    <row r="35" spans="1:17">
      <c r="B35" s="168"/>
      <c r="C35" s="168"/>
      <c r="D35" s="170"/>
      <c r="E35" s="170"/>
      <c r="F35" s="168"/>
      <c r="G35" s="170"/>
      <c r="H35" s="170"/>
      <c r="I35" s="168"/>
      <c r="J35" s="170"/>
      <c r="K35" s="170"/>
      <c r="L35" s="168"/>
      <c r="M35" s="170"/>
      <c r="N35" s="170"/>
      <c r="O35" s="168"/>
      <c r="P35" s="170"/>
    </row>
    <row r="36" spans="1:17">
      <c r="B36" s="168"/>
      <c r="C36" s="168"/>
      <c r="D36" s="170"/>
      <c r="E36" s="170"/>
      <c r="F36" s="168"/>
      <c r="G36" s="170"/>
      <c r="H36" s="170"/>
      <c r="I36" s="168"/>
      <c r="J36" s="170"/>
      <c r="K36" s="170"/>
      <c r="L36" s="168"/>
      <c r="M36" s="170"/>
      <c r="N36" s="170"/>
      <c r="O36" s="168"/>
      <c r="P36" s="170"/>
    </row>
    <row r="37" spans="1:17">
      <c r="A37" s="174"/>
      <c r="B37" s="168"/>
      <c r="C37" s="168"/>
      <c r="D37" s="170"/>
      <c r="E37" s="170"/>
      <c r="F37" s="168"/>
      <c r="G37" s="170"/>
      <c r="H37" s="170"/>
      <c r="I37" s="168"/>
      <c r="J37" s="170"/>
      <c r="K37" s="170"/>
      <c r="L37" s="168"/>
      <c r="M37" s="170"/>
      <c r="N37" s="170"/>
      <c r="O37" s="168"/>
      <c r="P37" s="170"/>
    </row>
    <row r="38" spans="1:17">
      <c r="B38" s="168"/>
      <c r="C38" s="168"/>
      <c r="D38" s="170"/>
      <c r="E38" s="170"/>
      <c r="F38" s="168"/>
      <c r="G38" s="170"/>
      <c r="H38" s="170"/>
      <c r="I38" s="168"/>
      <c r="J38" s="170"/>
      <c r="K38" s="170"/>
      <c r="L38" s="168"/>
      <c r="M38" s="170"/>
      <c r="N38" s="170"/>
      <c r="O38" s="168"/>
      <c r="P38" s="170"/>
    </row>
    <row r="39" spans="1:17">
      <c r="A39" s="172" t="s">
        <v>238</v>
      </c>
      <c r="B39" s="168"/>
      <c r="C39" s="168">
        <f>SUM(C18:C34)</f>
        <v>5492521</v>
      </c>
      <c r="D39" s="170">
        <f>C39/C3*100</f>
        <v>19.560637530824135</v>
      </c>
      <c r="E39" s="170"/>
      <c r="F39" s="168">
        <f>SUM(F18:F38)</f>
        <v>5480542</v>
      </c>
      <c r="G39" s="170">
        <f>F39/F3*100</f>
        <v>17.811720844747171</v>
      </c>
      <c r="H39" s="170"/>
      <c r="I39" s="168">
        <f>SUM(I18:I38)</f>
        <v>5345186</v>
      </c>
      <c r="J39" s="170">
        <f>I39/I3*100</f>
        <v>16.850686361790721</v>
      </c>
      <c r="K39" s="170"/>
      <c r="L39" s="168">
        <f>SUM(L18:L38)</f>
        <v>0</v>
      </c>
      <c r="M39" s="170" t="e">
        <f>L39/L3*100</f>
        <v>#DIV/0!</v>
      </c>
      <c r="N39" s="170"/>
      <c r="O39" s="168">
        <f>C39+F39+I39+L39</f>
        <v>16318249</v>
      </c>
      <c r="P39" s="170">
        <f>O39/O3*100</f>
        <v>18.017350163005506</v>
      </c>
    </row>
    <row r="40" spans="1:17">
      <c r="B40" s="168"/>
      <c r="C40" s="168"/>
      <c r="D40" s="170"/>
      <c r="E40" s="170"/>
      <c r="F40" s="168"/>
      <c r="G40" s="170"/>
      <c r="H40" s="170"/>
      <c r="I40" s="168"/>
      <c r="J40" s="170"/>
      <c r="K40" s="170"/>
      <c r="L40" s="168"/>
      <c r="M40" s="170"/>
      <c r="N40" s="170"/>
      <c r="O40" s="168"/>
      <c r="P40" s="170"/>
    </row>
    <row r="41" spans="1:17">
      <c r="A41" t="s">
        <v>250</v>
      </c>
      <c r="B41" s="168"/>
      <c r="C41" s="168">
        <v>66998</v>
      </c>
      <c r="D41" s="170">
        <f>C41/C3*100</f>
        <v>0.238601471581111</v>
      </c>
      <c r="E41" s="170"/>
      <c r="F41" s="168">
        <v>68046</v>
      </c>
      <c r="G41" s="170">
        <f>F41/F3*100</f>
        <v>0.2211489952274184</v>
      </c>
      <c r="H41" s="170"/>
      <c r="I41" s="168">
        <v>65898</v>
      </c>
      <c r="J41" s="170">
        <f>I41/I3*100</f>
        <v>0.20774329085447818</v>
      </c>
      <c r="K41" s="170"/>
      <c r="L41" s="168">
        <v>0</v>
      </c>
      <c r="M41" s="170" t="e">
        <f>L41/L3*100</f>
        <v>#DIV/0!</v>
      </c>
      <c r="N41" s="170"/>
      <c r="O41" s="168">
        <f>C41+F41+I41+L41</f>
        <v>200942</v>
      </c>
      <c r="P41" s="170">
        <f>O41/O3*100</f>
        <v>0.22186463611718715</v>
      </c>
    </row>
    <row r="42" spans="1:17">
      <c r="A42" t="s">
        <v>251</v>
      </c>
      <c r="B42" s="168"/>
      <c r="C42" s="168">
        <v>114000</v>
      </c>
      <c r="D42" s="170">
        <f>C42/C3*100</f>
        <v>0.40599074241390276</v>
      </c>
      <c r="E42" s="170"/>
      <c r="F42" s="168">
        <v>114000</v>
      </c>
      <c r="G42" s="170">
        <f>F42/F3*100</f>
        <v>0.3704991543356802</v>
      </c>
      <c r="H42" s="170"/>
      <c r="I42" s="168">
        <v>114000</v>
      </c>
      <c r="J42" s="170">
        <f>I42/I3*100</f>
        <v>0.35938473333652787</v>
      </c>
      <c r="K42" s="170"/>
      <c r="L42" s="168">
        <v>0</v>
      </c>
      <c r="M42" s="170" t="e">
        <f>L42/L3*100</f>
        <v>#DIV/0!</v>
      </c>
      <c r="N42" s="170"/>
      <c r="O42" s="168">
        <f>C42+F42+I42+L42</f>
        <v>342000</v>
      </c>
      <c r="P42" s="170">
        <f>O42/O3*100</f>
        <v>0.37760998473230084</v>
      </c>
    </row>
    <row r="43" spans="1:17">
      <c r="B43" s="168"/>
      <c r="C43" s="168"/>
      <c r="D43" s="170"/>
      <c r="E43" s="170"/>
      <c r="F43" s="168"/>
      <c r="G43" s="170"/>
      <c r="H43" s="170"/>
      <c r="I43" s="168"/>
      <c r="J43" s="170"/>
      <c r="K43" s="170"/>
      <c r="L43" s="168"/>
      <c r="M43" s="170"/>
      <c r="N43" s="170"/>
      <c r="O43" s="168">
        <f>C43+F43+I43+L43</f>
        <v>0</v>
      </c>
      <c r="P43" s="170"/>
    </row>
    <row r="44" spans="1:17">
      <c r="A44" s="175" t="s">
        <v>252</v>
      </c>
      <c r="B44" s="168"/>
      <c r="C44" s="168">
        <f>SUM(C41:C43)</f>
        <v>180998</v>
      </c>
      <c r="D44" s="170">
        <f>C44/C3*100</f>
        <v>0.64459221399501376</v>
      </c>
      <c r="E44" s="170"/>
      <c r="F44" s="168">
        <f>SUM(F41:F43)</f>
        <v>182046</v>
      </c>
      <c r="G44" s="170">
        <f>F44/F3*100</f>
        <v>0.59164814956309864</v>
      </c>
      <c r="H44" s="170"/>
      <c r="I44" s="168">
        <f>SUM(I41:I43)</f>
        <v>179898</v>
      </c>
      <c r="J44" s="170">
        <f>I44/I3*100</f>
        <v>0.56712802419100605</v>
      </c>
      <c r="K44" s="170"/>
      <c r="L44" s="168">
        <f>SUM(L41:L43)</f>
        <v>0</v>
      </c>
      <c r="M44" s="170" t="e">
        <f>L44/L3*100</f>
        <v>#DIV/0!</v>
      </c>
      <c r="N44" s="170"/>
      <c r="O44" s="168">
        <f>C44+F44+I44+L44</f>
        <v>542942</v>
      </c>
      <c r="P44" s="170">
        <f>O44/O3*100</f>
        <v>0.59947462084948799</v>
      </c>
    </row>
    <row r="45" spans="1:17">
      <c r="B45" s="168"/>
      <c r="C45" s="168"/>
      <c r="D45" s="170"/>
      <c r="E45" s="170"/>
      <c r="F45" s="168"/>
      <c r="G45" s="170"/>
      <c r="H45" s="170"/>
      <c r="I45" s="168"/>
      <c r="J45" s="170"/>
      <c r="K45" s="170"/>
      <c r="L45" s="168"/>
      <c r="M45" s="170"/>
      <c r="N45" s="170"/>
      <c r="O45" s="168"/>
      <c r="P45" s="170"/>
    </row>
    <row r="46" spans="1:17">
      <c r="A46" s="1" t="s">
        <v>253</v>
      </c>
      <c r="B46" s="168"/>
      <c r="C46" s="168">
        <f>C39+C44</f>
        <v>5673519</v>
      </c>
      <c r="D46" s="170">
        <f>C46/C3*100</f>
        <v>20.205229744819146</v>
      </c>
      <c r="E46" s="170"/>
      <c r="F46" s="168">
        <f>F39+F44</f>
        <v>5662588</v>
      </c>
      <c r="G46" s="170">
        <f>F46/F3*100</f>
        <v>18.40336899431027</v>
      </c>
      <c r="H46" s="170"/>
      <c r="I46" s="168">
        <f>I39+I44</f>
        <v>5525084</v>
      </c>
      <c r="J46" s="170">
        <f>I46/I3*100</f>
        <v>17.417814385981725</v>
      </c>
      <c r="K46" s="170"/>
      <c r="L46" s="168">
        <f>L39+L44</f>
        <v>0</v>
      </c>
      <c r="M46" s="170" t="e">
        <f>L46/L3*100</f>
        <v>#DIV/0!</v>
      </c>
      <c r="N46" s="170"/>
      <c r="O46" s="168">
        <f>C46+F46+I46+L46</f>
        <v>16861191</v>
      </c>
      <c r="P46" s="170">
        <f>O46/O3*100</f>
        <v>18.616824783854995</v>
      </c>
    </row>
    <row r="47" spans="1:17">
      <c r="B47" s="168"/>
      <c r="C47" s="168"/>
      <c r="D47" s="170"/>
      <c r="E47" s="170"/>
      <c r="F47" s="168"/>
      <c r="G47" s="170"/>
      <c r="H47" s="170"/>
      <c r="I47" s="168"/>
      <c r="J47" s="170"/>
      <c r="K47" s="170"/>
      <c r="L47" s="168"/>
      <c r="M47" s="170"/>
      <c r="N47" s="170"/>
      <c r="O47" s="168"/>
      <c r="P47" s="170"/>
    </row>
    <row r="48" spans="1:17">
      <c r="A48" s="1" t="s">
        <v>254</v>
      </c>
      <c r="B48" s="168"/>
      <c r="C48" s="168">
        <f>C13-C46</f>
        <v>-1492188</v>
      </c>
      <c r="D48" s="170">
        <f>C48/C3*100</f>
        <v>-5.3141624029922516</v>
      </c>
      <c r="E48" s="170"/>
      <c r="F48" s="168">
        <f>F13-F46</f>
        <v>-1314671</v>
      </c>
      <c r="G48" s="170">
        <f>F48/F3*100</f>
        <v>-4.272670997628448</v>
      </c>
      <c r="H48" s="170"/>
      <c r="I48" s="168">
        <f>I13-I46</f>
        <v>-1130434</v>
      </c>
      <c r="J48" s="170">
        <f>I48/I3*100</f>
        <v>-3.5636905407416188</v>
      </c>
      <c r="K48" s="170"/>
      <c r="L48" s="168">
        <f>L13-L46</f>
        <v>0</v>
      </c>
      <c r="M48" s="170" t="e">
        <f>L48/L3*100</f>
        <v>#DIV/0!</v>
      </c>
      <c r="N48" s="170"/>
      <c r="O48" s="168">
        <f>C48+F48+I48+L48</f>
        <v>-3937293</v>
      </c>
      <c r="P48" s="170">
        <f>O48/O3*100</f>
        <v>-4.3472548234403368</v>
      </c>
    </row>
    <row r="49" spans="1:16">
      <c r="I49" s="168"/>
      <c r="L49" s="168"/>
      <c r="O49" s="168"/>
    </row>
    <row r="50" spans="1:16">
      <c r="A50" t="s">
        <v>255</v>
      </c>
      <c r="D50" s="176">
        <f>D46-D8-D9-D10-D11-D12</f>
        <v>18.339609689047414</v>
      </c>
      <c r="E50" s="176"/>
      <c r="G50" s="176">
        <f>G46-G8-G9-G10--G11-G12</f>
        <v>17.420938486707907</v>
      </c>
      <c r="H50" s="176"/>
      <c r="I50" s="177"/>
      <c r="J50" s="176">
        <f>J46-J8-J9-J10-J11-J12</f>
        <v>16.005605771340516</v>
      </c>
      <c r="K50" s="176"/>
      <c r="L50" s="177"/>
      <c r="M50" s="178" t="e">
        <f>M46-M8-M9-M10--M11-M12</f>
        <v>#DIV/0!</v>
      </c>
      <c r="N50" s="176"/>
      <c r="O50" s="168"/>
      <c r="P50" s="176">
        <f>P46-P8-P9-P10--P11-P12</f>
        <v>17.434066398343486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Entreprise Budget</vt:lpstr>
      <vt:lpstr>Results</vt:lpstr>
      <vt:lpstr>Debt Capacity</vt:lpstr>
      <vt:lpstr>Fin. Stmts.</vt:lpstr>
      <vt:lpstr>Fin. Ratios</vt:lpstr>
      <vt:lpstr>Benchmarks</vt:lpstr>
      <vt:lpstr>Bond I.S.</vt:lpstr>
    </vt:vector>
  </TitlesOfParts>
  <Company>Pharmacia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Pharmacia</dc:creator>
  <cp:lastModifiedBy>Cooperative Extension</cp:lastModifiedBy>
  <cp:lastPrinted>2009-11-18T04:59:31Z</cp:lastPrinted>
  <dcterms:created xsi:type="dcterms:W3CDTF">2001-04-08T19:44:32Z</dcterms:created>
  <dcterms:modified xsi:type="dcterms:W3CDTF">2010-09-09T17:29:54Z</dcterms:modified>
</cp:coreProperties>
</file>