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15480" windowHeight="11640"/>
  </bookViews>
  <sheets>
    <sheet name="Strategies" sheetId="5" r:id="rId1"/>
    <sheet name="Cows Increase in Value" sheetId="7" r:id="rId2"/>
  </sheets>
  <definedNames>
    <definedName name="a" localSheetId="1">#REF!</definedName>
    <definedName name="a" localSheetId="0">#REF!</definedName>
    <definedName name="a">#REF!</definedName>
    <definedName name="j" localSheetId="1">#REF!</definedName>
    <definedName name="j" localSheetId="0">#REF!</definedName>
    <definedName name="j">#REF!</definedName>
    <definedName name="jeff" localSheetId="1">#REF!</definedName>
    <definedName name="jeff" localSheetId="0">#REF!</definedName>
    <definedName name="jeff">#REF!</definedName>
    <definedName name="_xlnm.Print_Area" localSheetId="1">'Cows Increase in Value'!$B$2:$S$135</definedName>
    <definedName name="_xlnm.Print_Area" localSheetId="0">Strategies!$B$2:$S$134</definedName>
    <definedName name="Print_Area_MI" localSheetId="1">#REF!</definedName>
    <definedName name="Print_Area_MI" localSheetId="0">#REF!</definedName>
    <definedName name="Print_Area_MI">#REF!</definedName>
  </definedNames>
  <calcPr calcId="145621" iterate="1" iterateCount="1" calcOnSave="0"/>
</workbook>
</file>

<file path=xl/calcChain.xml><?xml version="1.0" encoding="utf-8"?>
<calcChain xmlns="http://schemas.openxmlformats.org/spreadsheetml/2006/main">
  <c r="P134" i="7" l="1"/>
  <c r="R121" i="7"/>
  <c r="N121" i="7"/>
  <c r="M121" i="7"/>
  <c r="N120" i="7"/>
  <c r="M120" i="7"/>
  <c r="R108" i="7"/>
  <c r="N108" i="7"/>
  <c r="M108" i="7"/>
  <c r="N107" i="7"/>
  <c r="M107" i="7"/>
  <c r="R95" i="7"/>
  <c r="M95" i="7"/>
  <c r="N94" i="7"/>
  <c r="M94" i="7"/>
  <c r="P89" i="7"/>
  <c r="R82" i="7"/>
  <c r="M82" i="7"/>
  <c r="N81" i="7"/>
  <c r="M81" i="7"/>
  <c r="R74" i="7"/>
  <c r="R73" i="7"/>
  <c r="Q73" i="7"/>
  <c r="R69" i="7"/>
  <c r="Q69" i="7"/>
  <c r="M69" i="7"/>
  <c r="N68" i="7"/>
  <c r="M68" i="7"/>
  <c r="M70" i="7" s="1"/>
  <c r="E67" i="7"/>
  <c r="O68" i="7" s="1"/>
  <c r="R64" i="7"/>
  <c r="Q64" i="7"/>
  <c r="O64" i="7"/>
  <c r="N64" i="7"/>
  <c r="M64" i="7"/>
  <c r="R63" i="7"/>
  <c r="Q63" i="7"/>
  <c r="P63" i="7"/>
  <c r="O63" i="7"/>
  <c r="N63" i="7"/>
  <c r="M63" i="7"/>
  <c r="R62" i="7"/>
  <c r="Q62" i="7"/>
  <c r="O62" i="7"/>
  <c r="O76" i="7" s="1"/>
  <c r="N62" i="7"/>
  <c r="N76" i="7" s="1"/>
  <c r="M62" i="7"/>
  <c r="M76" i="7" s="1"/>
  <c r="R53" i="7"/>
  <c r="Q53" i="7"/>
  <c r="R52" i="7"/>
  <c r="Q52" i="7" s="1"/>
  <c r="R49" i="7"/>
  <c r="Q49" i="7" s="1"/>
  <c r="Y48" i="7"/>
  <c r="Y50" i="7" s="1"/>
  <c r="Y47" i="7"/>
  <c r="Y46" i="7"/>
  <c r="R51" i="7" s="1"/>
  <c r="Q51" i="7" s="1"/>
  <c r="R46" i="7"/>
  <c r="Q46" i="7"/>
  <c r="R45" i="7"/>
  <c r="Q45" i="7"/>
  <c r="Y43" i="7"/>
  <c r="R68" i="7" s="1"/>
  <c r="Y42" i="7"/>
  <c r="Y44" i="7" s="1"/>
  <c r="R44" i="7" s="1"/>
  <c r="Y37" i="7"/>
  <c r="Y39" i="7" s="1"/>
  <c r="R34" i="7" s="1"/>
  <c r="Q34" i="7" s="1"/>
  <c r="Y36" i="7"/>
  <c r="Y38" i="7" s="1"/>
  <c r="R33" i="7" s="1"/>
  <c r="R36" i="7"/>
  <c r="Q36" i="7" s="1"/>
  <c r="R35" i="7"/>
  <c r="Q35" i="7"/>
  <c r="Y32" i="7"/>
  <c r="I28" i="7"/>
  <c r="W16" i="7"/>
  <c r="X16" i="7" s="1"/>
  <c r="V16" i="7"/>
  <c r="V17" i="7" s="1"/>
  <c r="Y8" i="7"/>
  <c r="Y33" i="7" s="1"/>
  <c r="R121" i="5"/>
  <c r="N121" i="5"/>
  <c r="M121" i="5"/>
  <c r="N120" i="5"/>
  <c r="M120" i="5"/>
  <c r="P89" i="5"/>
  <c r="R108" i="5"/>
  <c r="N108" i="5"/>
  <c r="M108" i="5"/>
  <c r="N107" i="5"/>
  <c r="M107" i="5"/>
  <c r="M68" i="5"/>
  <c r="N68" i="5"/>
  <c r="R35" i="5"/>
  <c r="Q35" i="5" s="1"/>
  <c r="M94" i="5"/>
  <c r="N94" i="5"/>
  <c r="N81" i="5"/>
  <c r="M81" i="5"/>
  <c r="R69" i="5"/>
  <c r="Q69" i="5"/>
  <c r="R52" i="5"/>
  <c r="Q52" i="5" s="1"/>
  <c r="R53" i="5"/>
  <c r="Q53" i="5" s="1"/>
  <c r="R49" i="5"/>
  <c r="Q49" i="5" s="1"/>
  <c r="Y48" i="5"/>
  <c r="Y50" i="5" s="1"/>
  <c r="R46" i="5"/>
  <c r="Q46" i="5" s="1"/>
  <c r="R45" i="5"/>
  <c r="Q45" i="5" s="1"/>
  <c r="Y47" i="5"/>
  <c r="Y46" i="5"/>
  <c r="Y43" i="5"/>
  <c r="Q68" i="5" s="1"/>
  <c r="Y42" i="5"/>
  <c r="Y32" i="5"/>
  <c r="Y8" i="5"/>
  <c r="Y33" i="5" s="1"/>
  <c r="E67" i="5"/>
  <c r="E80" i="5" s="1"/>
  <c r="E93" i="5" s="1"/>
  <c r="Q94" i="5" s="1"/>
  <c r="Q95" i="5" s="1"/>
  <c r="W16" i="5"/>
  <c r="X16" i="5" s="1"/>
  <c r="V16" i="5"/>
  <c r="V17" i="5" s="1"/>
  <c r="W17" i="5" s="1"/>
  <c r="X17" i="5" s="1"/>
  <c r="O82" i="5" s="1"/>
  <c r="R63" i="5"/>
  <c r="Q63" i="5"/>
  <c r="P63" i="5"/>
  <c r="O63" i="5"/>
  <c r="N63" i="5"/>
  <c r="M63" i="5"/>
  <c r="R95" i="5"/>
  <c r="M95" i="5"/>
  <c r="Y37" i="5"/>
  <c r="Y39" i="5" s="1"/>
  <c r="R34" i="5" s="1"/>
  <c r="Q34" i="5" s="1"/>
  <c r="Y36" i="5"/>
  <c r="Y38" i="5" s="1"/>
  <c r="R36" i="5"/>
  <c r="Q36" i="5" s="1"/>
  <c r="R82" i="5"/>
  <c r="M82" i="5"/>
  <c r="I28" i="5"/>
  <c r="R74" i="5"/>
  <c r="R73" i="5"/>
  <c r="Q73" i="5"/>
  <c r="M69" i="5"/>
  <c r="R64" i="5"/>
  <c r="Q64" i="5"/>
  <c r="O64" i="5"/>
  <c r="N64" i="5"/>
  <c r="M64" i="5"/>
  <c r="R62" i="5"/>
  <c r="Q62" i="5"/>
  <c r="O62" i="5"/>
  <c r="N62" i="5"/>
  <c r="N76" i="5" s="1"/>
  <c r="N89" i="5" s="1"/>
  <c r="M62" i="5"/>
  <c r="R47" i="5" l="1"/>
  <c r="Q47" i="5" s="1"/>
  <c r="Q76" i="7"/>
  <c r="R70" i="7"/>
  <c r="R76" i="7"/>
  <c r="R89" i="7" s="1"/>
  <c r="V18" i="7"/>
  <c r="W17" i="7"/>
  <c r="X17" i="7" s="1"/>
  <c r="R71" i="7"/>
  <c r="R72" i="7" s="1"/>
  <c r="R77" i="7" s="1"/>
  <c r="N69" i="7"/>
  <c r="N70" i="7" s="1"/>
  <c r="R47" i="7"/>
  <c r="Q47" i="7" s="1"/>
  <c r="M26" i="7"/>
  <c r="Q26" i="7" s="1"/>
  <c r="R26" i="7" s="1"/>
  <c r="R38" i="7"/>
  <c r="Q38" i="7" s="1"/>
  <c r="Q33" i="7"/>
  <c r="R48" i="7"/>
  <c r="Q44" i="7"/>
  <c r="Y51" i="7"/>
  <c r="M71" i="7"/>
  <c r="M72" i="7" s="1"/>
  <c r="M77" i="7" s="1"/>
  <c r="Y35" i="7"/>
  <c r="R37" i="7" s="1"/>
  <c r="Q37" i="7" s="1"/>
  <c r="Y31" i="7"/>
  <c r="Y34" i="7" s="1"/>
  <c r="N65" i="7"/>
  <c r="Q65" i="7"/>
  <c r="Q68" i="7"/>
  <c r="Q70" i="7" s="1"/>
  <c r="E80" i="7"/>
  <c r="M65" i="7"/>
  <c r="O65" i="7"/>
  <c r="R65" i="7"/>
  <c r="Q81" i="5"/>
  <c r="Q82" i="5" s="1"/>
  <c r="O81" i="5"/>
  <c r="Q87" i="5"/>
  <c r="Q100" i="5"/>
  <c r="E106" i="5"/>
  <c r="Q70" i="5"/>
  <c r="Q71" i="5" s="1"/>
  <c r="Q72" i="5" s="1"/>
  <c r="Q77" i="5" s="1"/>
  <c r="O68" i="5"/>
  <c r="O94" i="5"/>
  <c r="O107" i="5"/>
  <c r="N82" i="5"/>
  <c r="R68" i="5"/>
  <c r="N69" i="5"/>
  <c r="Y44" i="5"/>
  <c r="R44" i="5" s="1"/>
  <c r="R51" i="5"/>
  <c r="Q51" i="5" s="1"/>
  <c r="Y51" i="5"/>
  <c r="Y52" i="5" s="1"/>
  <c r="Y53" i="5" s="1"/>
  <c r="Y31" i="5"/>
  <c r="Y34" i="5" s="1"/>
  <c r="Y35" i="5" s="1"/>
  <c r="R37" i="5" s="1"/>
  <c r="Q37" i="5" s="1"/>
  <c r="M26" i="5"/>
  <c r="R70" i="5"/>
  <c r="R71" i="5" s="1"/>
  <c r="R72" i="5" s="1"/>
  <c r="R77" i="5" s="1"/>
  <c r="N70" i="5"/>
  <c r="N71" i="5" s="1"/>
  <c r="N72" i="5" s="1"/>
  <c r="N77" i="5" s="1"/>
  <c r="V18" i="5"/>
  <c r="V19" i="5" s="1"/>
  <c r="M65" i="5"/>
  <c r="R65" i="5"/>
  <c r="O65" i="5"/>
  <c r="Q76" i="5"/>
  <c r="M70" i="5"/>
  <c r="M71" i="5" s="1"/>
  <c r="M72" i="5" s="1"/>
  <c r="M77" i="5" s="1"/>
  <c r="R33" i="5"/>
  <c r="N65" i="5"/>
  <c r="Q65" i="5"/>
  <c r="M76" i="5"/>
  <c r="M89" i="5" s="1"/>
  <c r="O76" i="5"/>
  <c r="O89" i="5" s="1"/>
  <c r="R76" i="5"/>
  <c r="R89" i="5" s="1"/>
  <c r="Q48" i="7" l="1"/>
  <c r="M83" i="7"/>
  <c r="M84" i="7" s="1"/>
  <c r="M78" i="7"/>
  <c r="R83" i="7"/>
  <c r="R84" i="7" s="1"/>
  <c r="R78" i="7"/>
  <c r="E93" i="7"/>
  <c r="O81" i="7"/>
  <c r="Q87" i="7"/>
  <c r="Q81" i="7"/>
  <c r="R102" i="7"/>
  <c r="Q71" i="7"/>
  <c r="Q72" i="7" s="1"/>
  <c r="Q77" i="7" s="1"/>
  <c r="V19" i="7"/>
  <c r="W18" i="7"/>
  <c r="Q39" i="7"/>
  <c r="R39" i="7"/>
  <c r="O69" i="7" s="1"/>
  <c r="O70" i="7" s="1"/>
  <c r="N71" i="7"/>
  <c r="N72" i="7"/>
  <c r="N77" i="7" s="1"/>
  <c r="O82" i="7"/>
  <c r="N82" i="7"/>
  <c r="Y52" i="7"/>
  <c r="Y53" i="7" s="1"/>
  <c r="W19" i="5"/>
  <c r="X19" i="5" s="1"/>
  <c r="O108" i="5" s="1"/>
  <c r="V20" i="5"/>
  <c r="Q107" i="5"/>
  <c r="Q108" i="5" s="1"/>
  <c r="Q113" i="5"/>
  <c r="E119" i="5"/>
  <c r="Q89" i="5"/>
  <c r="Q102" i="5" s="1"/>
  <c r="Q44" i="5"/>
  <c r="Q48" i="5" s="1"/>
  <c r="R48" i="5"/>
  <c r="R50" i="5"/>
  <c r="W18" i="5"/>
  <c r="X18" i="5" s="1"/>
  <c r="M83" i="5"/>
  <c r="M84" i="5" s="1"/>
  <c r="R83" i="5"/>
  <c r="R84" i="5" s="1"/>
  <c r="R78" i="5"/>
  <c r="M78" i="5"/>
  <c r="Q83" i="5"/>
  <c r="Q84" i="5" s="1"/>
  <c r="N83" i="5"/>
  <c r="N84" i="5" s="1"/>
  <c r="N102" i="5"/>
  <c r="N115" i="5" s="1"/>
  <c r="N128" i="5" s="1"/>
  <c r="R38" i="5"/>
  <c r="Q38" i="5" s="1"/>
  <c r="Q33" i="5"/>
  <c r="Q78" i="5"/>
  <c r="N78" i="5"/>
  <c r="Q89" i="7" l="1"/>
  <c r="M89" i="7"/>
  <c r="O89" i="7"/>
  <c r="N89" i="7"/>
  <c r="Q115" i="5"/>
  <c r="Q83" i="7"/>
  <c r="Q78" i="7"/>
  <c r="N83" i="7"/>
  <c r="N84" i="7" s="1"/>
  <c r="N78" i="7"/>
  <c r="V20" i="7"/>
  <c r="W20" i="7" s="1"/>
  <c r="X20" i="7" s="1"/>
  <c r="O121" i="7" s="1"/>
  <c r="W19" i="7"/>
  <c r="X19" i="7" s="1"/>
  <c r="O108" i="7" s="1"/>
  <c r="E106" i="7"/>
  <c r="Q100" i="7"/>
  <c r="Q94" i="7"/>
  <c r="O94" i="7"/>
  <c r="X18" i="7"/>
  <c r="W21" i="7"/>
  <c r="I39" i="7" s="1"/>
  <c r="Q82" i="7"/>
  <c r="Q84" i="7" s="1"/>
  <c r="R85" i="7"/>
  <c r="R86" i="7" s="1"/>
  <c r="R90" i="7" s="1"/>
  <c r="R50" i="7"/>
  <c r="O72" i="7"/>
  <c r="O77" i="7" s="1"/>
  <c r="O71" i="7"/>
  <c r="R115" i="7"/>
  <c r="M85" i="7"/>
  <c r="M86" i="7" s="1"/>
  <c r="M90" i="7" s="1"/>
  <c r="Q126" i="5"/>
  <c r="Q120" i="5"/>
  <c r="Q121" i="5" s="1"/>
  <c r="O120" i="5"/>
  <c r="O95" i="5"/>
  <c r="N95" i="5"/>
  <c r="Q50" i="5"/>
  <c r="Q54" i="5" s="1"/>
  <c r="Q55" i="5" s="1"/>
  <c r="R54" i="5"/>
  <c r="R55" i="5" s="1"/>
  <c r="N85" i="5"/>
  <c r="N86" i="5" s="1"/>
  <c r="N90" i="5" s="1"/>
  <c r="Q85" i="5"/>
  <c r="Q86" i="5" s="1"/>
  <c r="Q90" i="5" s="1"/>
  <c r="M102" i="5"/>
  <c r="M115" i="5" s="1"/>
  <c r="M128" i="5" s="1"/>
  <c r="R102" i="5"/>
  <c r="R115" i="5" s="1"/>
  <c r="R128" i="5" s="1"/>
  <c r="O102" i="5"/>
  <c r="O115" i="5" s="1"/>
  <c r="O128" i="5" s="1"/>
  <c r="R85" i="5"/>
  <c r="R86" i="5" s="1"/>
  <c r="R90" i="5" s="1"/>
  <c r="M85" i="5"/>
  <c r="M86" i="5" s="1"/>
  <c r="M90" i="5" s="1"/>
  <c r="Q39" i="5"/>
  <c r="R39" i="5"/>
  <c r="Q102" i="7" l="1"/>
  <c r="N102" i="7"/>
  <c r="M102" i="7"/>
  <c r="O102" i="7"/>
  <c r="Q128" i="5"/>
  <c r="Q85" i="7"/>
  <c r="Q86" i="7"/>
  <c r="Q90" i="7" s="1"/>
  <c r="R96" i="7"/>
  <c r="R97" i="7" s="1"/>
  <c r="R91" i="7"/>
  <c r="N85" i="7"/>
  <c r="N86" i="7" s="1"/>
  <c r="N90" i="7" s="1"/>
  <c r="R128" i="7"/>
  <c r="Q50" i="7"/>
  <c r="Q54" i="7" s="1"/>
  <c r="Q55" i="7" s="1"/>
  <c r="R54" i="7"/>
  <c r="R55" i="7" s="1"/>
  <c r="N95" i="7"/>
  <c r="O95" i="7"/>
  <c r="X21" i="7"/>
  <c r="Q95" i="7"/>
  <c r="E119" i="7"/>
  <c r="Q113" i="7"/>
  <c r="Q107" i="7"/>
  <c r="O107" i="7"/>
  <c r="M96" i="7"/>
  <c r="M97" i="7" s="1"/>
  <c r="M91" i="7"/>
  <c r="O83" i="7"/>
  <c r="O84" i="7" s="1"/>
  <c r="O78" i="7"/>
  <c r="O69" i="5"/>
  <c r="O70" i="5" s="1"/>
  <c r="O71" i="5" s="1"/>
  <c r="O72" i="5" s="1"/>
  <c r="O77" i="5" s="1"/>
  <c r="O78" i="5" s="1"/>
  <c r="N96" i="5"/>
  <c r="N97" i="5" s="1"/>
  <c r="N91" i="5"/>
  <c r="Q96" i="5"/>
  <c r="Q97" i="5" s="1"/>
  <c r="Q91" i="5"/>
  <c r="M96" i="5"/>
  <c r="M97" i="5" s="1"/>
  <c r="R96" i="5"/>
  <c r="R97" i="5" s="1"/>
  <c r="R91" i="5"/>
  <c r="M91" i="5"/>
  <c r="Q115" i="7" l="1"/>
  <c r="O115" i="7"/>
  <c r="N115" i="7"/>
  <c r="M115" i="7"/>
  <c r="N96" i="7"/>
  <c r="N97" i="7" s="1"/>
  <c r="N91" i="7"/>
  <c r="O85" i="7"/>
  <c r="O86" i="7" s="1"/>
  <c r="O90" i="7" s="1"/>
  <c r="I38" i="7"/>
  <c r="M28" i="7"/>
  <c r="R98" i="7"/>
  <c r="R99" i="7"/>
  <c r="R103" i="7" s="1"/>
  <c r="Q96" i="7"/>
  <c r="Q97" i="7" s="1"/>
  <c r="Q91" i="7"/>
  <c r="M98" i="7"/>
  <c r="M99" i="7" s="1"/>
  <c r="M103" i="7" s="1"/>
  <c r="Q108" i="7"/>
  <c r="Q126" i="7"/>
  <c r="Q120" i="7"/>
  <c r="O120" i="7"/>
  <c r="O83" i="5"/>
  <c r="O84" i="5" s="1"/>
  <c r="O85" i="5" s="1"/>
  <c r="O86" i="5" s="1"/>
  <c r="O90" i="5" s="1"/>
  <c r="O96" i="5" s="1"/>
  <c r="O97" i="5" s="1"/>
  <c r="Q98" i="5"/>
  <c r="Q99" i="5" s="1"/>
  <c r="Q103" i="5" s="1"/>
  <c r="R98" i="5"/>
  <c r="R99" i="5" s="1"/>
  <c r="R103" i="5" s="1"/>
  <c r="M98" i="5"/>
  <c r="M99" i="5" s="1"/>
  <c r="M103" i="5" s="1"/>
  <c r="N98" i="5"/>
  <c r="N99" i="5" s="1"/>
  <c r="N103" i="5" s="1"/>
  <c r="Q128" i="7" l="1"/>
  <c r="O128" i="7"/>
  <c r="N128" i="7"/>
  <c r="M128" i="7"/>
  <c r="M109" i="7"/>
  <c r="M110" i="7" s="1"/>
  <c r="M104" i="7"/>
  <c r="M133" i="7" s="1"/>
  <c r="Q98" i="7"/>
  <c r="Q99" i="7" s="1"/>
  <c r="Q103" i="7" s="1"/>
  <c r="O96" i="7"/>
  <c r="O97" i="7" s="1"/>
  <c r="O91" i="7"/>
  <c r="N98" i="7"/>
  <c r="N99" i="7" s="1"/>
  <c r="N103" i="7" s="1"/>
  <c r="R109" i="7"/>
  <c r="R110" i="7" s="1"/>
  <c r="R104" i="7"/>
  <c r="R133" i="7" s="1"/>
  <c r="M27" i="7"/>
  <c r="Q27" i="7" s="1"/>
  <c r="R27" i="7" s="1"/>
  <c r="Q28" i="7"/>
  <c r="R28" i="7" s="1"/>
  <c r="Q121" i="7"/>
  <c r="M104" i="5"/>
  <c r="M133" i="5" s="1"/>
  <c r="M134" i="5" s="1"/>
  <c r="M109" i="5"/>
  <c r="M110" i="5" s="1"/>
  <c r="Q104" i="5"/>
  <c r="Q133" i="5" s="1"/>
  <c r="Q134" i="5" s="1"/>
  <c r="Q109" i="5"/>
  <c r="Q110" i="5" s="1"/>
  <c r="Q111" i="5" s="1"/>
  <c r="Q112" i="5" s="1"/>
  <c r="Q116" i="5" s="1"/>
  <c r="N104" i="5"/>
  <c r="N133" i="5" s="1"/>
  <c r="N134" i="5" s="1"/>
  <c r="N109" i="5"/>
  <c r="N110" i="5" s="1"/>
  <c r="N111" i="5" s="1"/>
  <c r="N112" i="5" s="1"/>
  <c r="N116" i="5" s="1"/>
  <c r="R104" i="5"/>
  <c r="R133" i="5" s="1"/>
  <c r="R134" i="5" s="1"/>
  <c r="R109" i="5"/>
  <c r="R110" i="5" s="1"/>
  <c r="O91" i="5"/>
  <c r="O98" i="5"/>
  <c r="O99" i="5" s="1"/>
  <c r="O103" i="5" s="1"/>
  <c r="R135" i="7" l="1"/>
  <c r="R134" i="7"/>
  <c r="M135" i="7"/>
  <c r="M134" i="7"/>
  <c r="N109" i="7"/>
  <c r="N110" i="7" s="1"/>
  <c r="N104" i="7"/>
  <c r="N133" i="7" s="1"/>
  <c r="Q109" i="7"/>
  <c r="Q110" i="7" s="1"/>
  <c r="Q104" i="7"/>
  <c r="Q133" i="7" s="1"/>
  <c r="M111" i="7"/>
  <c r="M112" i="7" s="1"/>
  <c r="M116" i="7" s="1"/>
  <c r="R111" i="7"/>
  <c r="R112" i="7" s="1"/>
  <c r="R116" i="7" s="1"/>
  <c r="O98" i="7"/>
  <c r="O99" i="7" s="1"/>
  <c r="O103" i="7" s="1"/>
  <c r="N117" i="5"/>
  <c r="N122" i="5"/>
  <c r="N123" i="5" s="1"/>
  <c r="N124" i="5" s="1"/>
  <c r="N125" i="5" s="1"/>
  <c r="N129" i="5" s="1"/>
  <c r="N130" i="5" s="1"/>
  <c r="Q117" i="5"/>
  <c r="Q122" i="5"/>
  <c r="Q123" i="5" s="1"/>
  <c r="Q124" i="5" s="1"/>
  <c r="Q125" i="5" s="1"/>
  <c r="Q129" i="5" s="1"/>
  <c r="Q130" i="5" s="1"/>
  <c r="O104" i="5"/>
  <c r="O133" i="5" s="1"/>
  <c r="O134" i="5" s="1"/>
  <c r="O109" i="5"/>
  <c r="O110" i="5" s="1"/>
  <c r="O111" i="5" s="1"/>
  <c r="O112" i="5" s="1"/>
  <c r="O116" i="5" s="1"/>
  <c r="R111" i="5"/>
  <c r="R112" i="5" s="1"/>
  <c r="R116" i="5" s="1"/>
  <c r="M111" i="5"/>
  <c r="M112" i="5" s="1"/>
  <c r="M116" i="5" s="1"/>
  <c r="W20" i="5"/>
  <c r="X20" i="5" s="1"/>
  <c r="Q135" i="7" l="1"/>
  <c r="Q134" i="7"/>
  <c r="N135" i="7"/>
  <c r="N134" i="7"/>
  <c r="R122" i="7"/>
  <c r="R123" i="7" s="1"/>
  <c r="R117" i="7"/>
  <c r="O109" i="7"/>
  <c r="O110" i="7" s="1"/>
  <c r="O104" i="7"/>
  <c r="O133" i="7" s="1"/>
  <c r="M122" i="7"/>
  <c r="M123" i="7" s="1"/>
  <c r="M117" i="7"/>
  <c r="Q111" i="7"/>
  <c r="Q112" i="7" s="1"/>
  <c r="Q116" i="7" s="1"/>
  <c r="N112" i="7"/>
  <c r="N116" i="7" s="1"/>
  <c r="N111" i="7"/>
  <c r="M117" i="5"/>
  <c r="M122" i="5"/>
  <c r="M123" i="5" s="1"/>
  <c r="X21" i="5"/>
  <c r="M28" i="5" s="1"/>
  <c r="M27" i="5" s="1"/>
  <c r="O121" i="5"/>
  <c r="R117" i="5"/>
  <c r="R122" i="5"/>
  <c r="R123" i="5" s="1"/>
  <c r="O117" i="5"/>
  <c r="O122" i="5"/>
  <c r="O123" i="5" s="1"/>
  <c r="W21" i="5"/>
  <c r="I38" i="5" l="1"/>
  <c r="O135" i="7"/>
  <c r="O134" i="7"/>
  <c r="N122" i="7"/>
  <c r="N123" i="7" s="1"/>
  <c r="N117" i="7"/>
  <c r="Q122" i="7"/>
  <c r="Q123" i="7" s="1"/>
  <c r="Q117" i="7"/>
  <c r="M124" i="7"/>
  <c r="M125" i="7"/>
  <c r="M129" i="7" s="1"/>
  <c r="M130" i="7" s="1"/>
  <c r="R124" i="7"/>
  <c r="R125" i="7" s="1"/>
  <c r="R129" i="7" s="1"/>
  <c r="R130" i="7" s="1"/>
  <c r="O111" i="7"/>
  <c r="O112" i="7"/>
  <c r="O116" i="7" s="1"/>
  <c r="R124" i="5"/>
  <c r="R125" i="5" s="1"/>
  <c r="R129" i="5" s="1"/>
  <c r="R130" i="5" s="1"/>
  <c r="M124" i="5"/>
  <c r="M125" i="5" s="1"/>
  <c r="M129" i="5" s="1"/>
  <c r="M130" i="5" s="1"/>
  <c r="O124" i="5"/>
  <c r="O125" i="5"/>
  <c r="O129" i="5" s="1"/>
  <c r="O130" i="5" s="1"/>
  <c r="Q26" i="5"/>
  <c r="R26" i="5" s="1"/>
  <c r="I39" i="5"/>
  <c r="Q28" i="5"/>
  <c r="R28" i="5" s="1"/>
  <c r="Q27" i="5"/>
  <c r="R27" i="5" s="1"/>
  <c r="O122" i="7" l="1"/>
  <c r="O123" i="7" s="1"/>
  <c r="O117" i="7"/>
  <c r="N124" i="7"/>
  <c r="N125" i="7" s="1"/>
  <c r="N129" i="7" s="1"/>
  <c r="N130" i="7" s="1"/>
  <c r="Q124" i="7"/>
  <c r="Q125" i="7" s="1"/>
  <c r="Q129" i="7" s="1"/>
  <c r="Q130" i="7" s="1"/>
  <c r="O124" i="7" l="1"/>
  <c r="O125" i="7"/>
  <c r="O129" i="7" s="1"/>
  <c r="O130" i="7" s="1"/>
</calcChain>
</file>

<file path=xl/comments1.xml><?xml version="1.0" encoding="utf-8"?>
<comments xmlns="http://schemas.openxmlformats.org/spreadsheetml/2006/main">
  <authors>
    <author>Jeffrey E. Tranel</author>
  </authors>
  <commentList>
    <comment ref="C25" authorId="0">
      <text>
        <r>
          <rPr>
            <sz val="8"/>
            <color indexed="81"/>
            <rFont val="Tahoma"/>
            <family val="2"/>
          </rPr>
          <t>You must make sure the ration is balanced for your cows.</t>
        </r>
      </text>
    </comment>
  </commentList>
</comments>
</file>

<file path=xl/comments2.xml><?xml version="1.0" encoding="utf-8"?>
<comments xmlns="http://schemas.openxmlformats.org/spreadsheetml/2006/main">
  <authors>
    <author>Jeffrey E. Tranel</author>
  </authors>
  <commentList>
    <comment ref="C25" authorId="0">
      <text>
        <r>
          <rPr>
            <sz val="8"/>
            <color indexed="81"/>
            <rFont val="Tahoma"/>
            <family val="2"/>
          </rPr>
          <t>You must make sure the ration is balanced for your cows.</t>
        </r>
      </text>
    </comment>
  </commentList>
</comments>
</file>

<file path=xl/sharedStrings.xml><?xml version="1.0" encoding="utf-8"?>
<sst xmlns="http://schemas.openxmlformats.org/spreadsheetml/2006/main" count="369" uniqueCount="131">
  <si>
    <t>Strategies for Beef Cattle Herds During Times of Drought, v2011</t>
  </si>
  <si>
    <t>Cows</t>
  </si>
  <si>
    <t>Herd Size (head)</t>
  </si>
  <si>
    <t>Calves</t>
  </si>
  <si>
    <t>Current Value of Cows (per cow)</t>
  </si>
  <si>
    <t>OPTION 1: PURCHASE ADDITIONAL FEED</t>
  </si>
  <si>
    <t>Price</t>
  </si>
  <si>
    <t xml:space="preserve">Days of </t>
  </si>
  <si>
    <t>Additional Costs</t>
  </si>
  <si>
    <t>Ration 1</t>
  </si>
  <si>
    <t>lbs/day</t>
  </si>
  <si>
    <t>Per Ton</t>
  </si>
  <si>
    <t>Add'l Feed</t>
  </si>
  <si>
    <t xml:space="preserve">Per Cow  </t>
  </si>
  <si>
    <t xml:space="preserve">Per Herd  </t>
  </si>
  <si>
    <t>Hay</t>
  </si>
  <si>
    <t>Other</t>
  </si>
  <si>
    <t>Total</t>
  </si>
  <si>
    <t>Distance to/from Pasture (miles)</t>
  </si>
  <si>
    <t>Trucking Pairs to Pasture</t>
  </si>
  <si>
    <t>Trucking Cost (per loaded mile)</t>
  </si>
  <si>
    <t>Trucking Cows to Home</t>
  </si>
  <si>
    <t>Pasture Rent (per AUM)</t>
  </si>
  <si>
    <t>Pasture Rent</t>
  </si>
  <si>
    <t>Other Costs</t>
  </si>
  <si>
    <t>Interest</t>
  </si>
  <si>
    <t>Revenues from Cow Sales</t>
  </si>
  <si>
    <t>Pairs Per Truck (40,000 lbs)</t>
  </si>
  <si>
    <t>Cows Per Truck (40,000 lbs)</t>
  </si>
  <si>
    <t>Trucks Needed to Ship Pairs</t>
  </si>
  <si>
    <t>Trucks Needed to Ship Cows</t>
  </si>
  <si>
    <t>Total Income Tax Rate (U.S. &amp; State)</t>
  </si>
  <si>
    <t>Average Weight Currently (lbs)</t>
  </si>
  <si>
    <t>Average Weight at Weaning (lbs)</t>
  </si>
  <si>
    <t>Reduced Calf Sales This Year</t>
  </si>
  <si>
    <t>SELL COWS</t>
  </si>
  <si>
    <t xml:space="preserve">BUY </t>
  </si>
  <si>
    <t xml:space="preserve">FEED </t>
  </si>
  <si>
    <t xml:space="preserve">RENT </t>
  </si>
  <si>
    <t xml:space="preserve">PASTURE </t>
  </si>
  <si>
    <t>Taxes (SE, US Income, CO Income)</t>
  </si>
  <si>
    <t>After Tax Income</t>
  </si>
  <si>
    <t>Current (Applicable) Net Worth</t>
  </si>
  <si>
    <t>Average Tax Basis of Cows (per cow)</t>
  </si>
  <si>
    <t>Capital Gains (@ 15%)</t>
  </si>
  <si>
    <t>OPTION 2: TRUCK PAIRS TO RENTED PASTURE</t>
  </si>
  <si>
    <t>Total Other (not rent) Costs</t>
  </si>
  <si>
    <t>Cost of Replacement Animals (per cow)</t>
  </si>
  <si>
    <t>COWS</t>
  </si>
  <si>
    <t>CALVES</t>
  </si>
  <si>
    <t>Prices (per lb)</t>
  </si>
  <si>
    <t>Current</t>
  </si>
  <si>
    <t>OTHER INFORMATION</t>
  </si>
  <si>
    <t>Annual "Cow" Costs</t>
  </si>
  <si>
    <t>Additional Cost ($/cow/day)</t>
  </si>
  <si>
    <t>Cash</t>
  </si>
  <si>
    <t>Revenues from Calves</t>
  </si>
  <si>
    <t>Profits</t>
  </si>
  <si>
    <t>Capital Sales - Cow Sales</t>
  </si>
  <si>
    <t>Agriculture and Business Management Economists</t>
  </si>
  <si>
    <t>Operating Costs (typical + adjustments)</t>
  </si>
  <si>
    <t xml:space="preserve">NORMAL </t>
  </si>
  <si>
    <t xml:space="preserve">CONDITIONS </t>
  </si>
  <si>
    <t>Adjustment Factor Following Drought</t>
  </si>
  <si>
    <t>Interest Rate for Borrowed Money</t>
  </si>
  <si>
    <t>Interest Rate for Invested Money</t>
  </si>
  <si>
    <t>Number of Cows Culled in a Normal Year</t>
  </si>
  <si>
    <t>Operating Expenses</t>
  </si>
  <si>
    <t>Purchase Replacement Females</t>
  </si>
  <si>
    <t>TOTAL</t>
  </si>
  <si>
    <t>PER COW</t>
  </si>
  <si>
    <t>Interest Income/Expenses</t>
  </si>
  <si>
    <t>CURRENT MONTH (month of action)</t>
  </si>
  <si>
    <t>by:  Jeffrey E. Tranel, Rod Sharp, &amp; John Deering</t>
  </si>
  <si>
    <t xml:space="preserve">REPLACE  </t>
  </si>
  <si>
    <t xml:space="preserve">DO NOT  </t>
  </si>
  <si>
    <t>CURRENT YEAR</t>
  </si>
  <si>
    <t>Ending Net Worth</t>
  </si>
  <si>
    <t>Months</t>
  </si>
  <si>
    <t>Days</t>
  </si>
  <si>
    <t>Expected Calf Sales</t>
  </si>
  <si>
    <t>Actual Calf Sales</t>
  </si>
  <si>
    <t>Lost Revenues (calf sales at weaning)</t>
  </si>
  <si>
    <t>Normal Number of Calves to Be Sold</t>
  </si>
  <si>
    <t>Actual Calves Sold (Option 2)</t>
  </si>
  <si>
    <t>Actual Selling Weight (Option 2)</t>
  </si>
  <si>
    <t xml:space="preserve">  head</t>
  </si>
  <si>
    <t xml:space="preserve">  lbs</t>
  </si>
  <si>
    <t>Average Weaning Percentage</t>
  </si>
  <si>
    <t>Average Percent of Calves Sold</t>
  </si>
  <si>
    <t>Average Cow Weight (lbs)</t>
  </si>
  <si>
    <t>Expected Calf Sales, Current Year</t>
  </si>
  <si>
    <t>Expected at Weaning, This Year</t>
  </si>
  <si>
    <t>Expected Calf Sales, Year 2</t>
  </si>
  <si>
    <t>Expected Calf Sales, Year 3</t>
  </si>
  <si>
    <t>Reduced Operating Costs, This Year</t>
  </si>
  <si>
    <t>Selling Costs (per cow)</t>
  </si>
  <si>
    <t>Additional Costs for Selling Cows</t>
  </si>
  <si>
    <t>Cow Sales</t>
  </si>
  <si>
    <t>Total, Year 1</t>
  </si>
  <si>
    <t>Initial Money Invested</t>
  </si>
  <si>
    <t>Interest Income, Year 1</t>
  </si>
  <si>
    <t>Interest Income, Year 2</t>
  </si>
  <si>
    <t>Interest Income, Year 3</t>
  </si>
  <si>
    <t>Replacement Cows</t>
  </si>
  <si>
    <t>Total, Years 2 &amp; 3</t>
  </si>
  <si>
    <t>Reduced Operating Expenses, Yrs 2+3</t>
  </si>
  <si>
    <t>Expected Calf Sales, Years 2+3</t>
  </si>
  <si>
    <t>Interest Income, Years 2+3</t>
  </si>
  <si>
    <t>Total for 3 Years</t>
  </si>
  <si>
    <t>Days on Rented Pasture (per year)</t>
  </si>
  <si>
    <t>Days on rented pasture in Year 2 equals days in cell X18, rather than the value used for Year 1 (cell I35)</t>
  </si>
  <si>
    <t>Additional Calf Death Loss, Year 1 (hd)</t>
  </si>
  <si>
    <t>Adjustment for Calf Weaning Weights</t>
  </si>
  <si>
    <t xml:space="preserve">     This 'decision aid' is designed to help cow-calf producers compare the financial consequences of alternative management strategies during times of limited grazing forage, e.g. drought. It is a guide only. Producers should consult with their lenders, tax practioners, and/or other professional before making any final decisions.</t>
  </si>
  <si>
    <t>Interest on Cow Sales Revenues</t>
  </si>
  <si>
    <t>It is assumed that cows are replaced on last day of the second year after they are sold. For example, cows sold in 2011 are replaced on 12/31/2013.</t>
  </si>
  <si>
    <t>DROUGHT ENDS:</t>
  </si>
  <si>
    <t>MONTH</t>
  </si>
  <si>
    <t>YEAR</t>
  </si>
  <si>
    <t>(it assumed that cows are replaced in December of year that drought ends)</t>
  </si>
  <si>
    <t>Total Days of Drought</t>
  </si>
  <si>
    <t>Total Months of Drought</t>
  </si>
  <si>
    <t>OPTION 3: SELL PAIRS &amp; REPLACE COWS</t>
  </si>
  <si>
    <t>Expected at Weaning, Years 3-5</t>
  </si>
  <si>
    <t>Expected at Weaning, Year 2</t>
  </si>
  <si>
    <t>Operating Costs, Years 3-5 (total)</t>
  </si>
  <si>
    <t>Operating Costs, Year 2 (total)</t>
  </si>
  <si>
    <t>Reduced Operating Costs, Year 1 (per cow)</t>
  </si>
  <si>
    <t>CHANGE IN NET WORTH OVER 5 YEARS</t>
  </si>
  <si>
    <t>PERCENTAGE CHANGE (over 5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</si>
</sst>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_);\(0\)"/>
  </numFmts>
  <fonts count="16" x14ac:knownFonts="1">
    <font>
      <sz val="10"/>
      <name val="Arial"/>
      <family val="2"/>
    </font>
    <font>
      <sz val="10"/>
      <name val="Arial"/>
      <family val="2"/>
    </font>
    <font>
      <b/>
      <i/>
      <sz val="16"/>
      <color rgb="FF00800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indexed="12"/>
      <name val="Calibri"/>
      <family val="2"/>
      <scheme val="minor"/>
    </font>
    <font>
      <sz val="8"/>
      <color indexed="81"/>
      <name val="Tahoma"/>
      <family val="2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name val="Arial"/>
      <family val="2"/>
    </font>
    <font>
      <i/>
      <sz val="12"/>
      <color rgb="FFFF0000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38" fontId="7" fillId="2" borderId="1" xfId="0" applyNumberFormat="1" applyFont="1" applyFill="1" applyBorder="1" applyAlignment="1" applyProtection="1">
      <alignment horizontal="right"/>
      <protection locked="0"/>
    </xf>
    <xf numFmtId="6" fontId="7" fillId="2" borderId="1" xfId="0" applyNumberFormat="1" applyFont="1" applyFill="1" applyBorder="1" applyAlignment="1" applyProtection="1">
      <alignment horizontal="right"/>
      <protection locked="0"/>
    </xf>
    <xf numFmtId="10" fontId="7" fillId="2" borderId="1" xfId="3" applyNumberFormat="1" applyFont="1" applyFill="1" applyBorder="1" applyAlignment="1" applyProtection="1">
      <alignment horizontal="right"/>
      <protection locked="0"/>
    </xf>
    <xf numFmtId="9" fontId="7" fillId="2" borderId="1" xfId="3" applyNumberFormat="1" applyFont="1" applyFill="1" applyBorder="1" applyAlignment="1" applyProtection="1">
      <alignment horizontal="right"/>
      <protection locked="0"/>
    </xf>
    <xf numFmtId="40" fontId="7" fillId="4" borderId="1" xfId="0" applyNumberFormat="1" applyFont="1" applyFill="1" applyBorder="1" applyAlignment="1" applyProtection="1">
      <alignment horizontal="center"/>
      <protection locked="0"/>
    </xf>
    <xf numFmtId="6" fontId="7" fillId="4" borderId="1" xfId="0" applyNumberFormat="1" applyFont="1" applyFill="1" applyBorder="1" applyAlignment="1" applyProtection="1">
      <alignment horizontal="center"/>
      <protection locked="0"/>
    </xf>
    <xf numFmtId="38" fontId="3" fillId="3" borderId="0" xfId="0" applyNumberFormat="1" applyFont="1" applyFill="1" applyBorder="1" applyAlignment="1" applyProtection="1">
      <alignment horizontal="center"/>
    </xf>
    <xf numFmtId="38" fontId="3" fillId="3" borderId="2" xfId="0" applyNumberFormat="1" applyFont="1" applyFill="1" applyBorder="1" applyAlignment="1" applyProtection="1">
      <alignment horizontal="center"/>
    </xf>
    <xf numFmtId="41" fontId="7" fillId="4" borderId="1" xfId="0" applyNumberFormat="1" applyFont="1" applyFill="1" applyBorder="1" applyProtection="1">
      <protection locked="0"/>
    </xf>
    <xf numFmtId="8" fontId="7" fillId="4" borderId="1" xfId="2" applyNumberFormat="1" applyFont="1" applyFill="1" applyBorder="1" applyProtection="1">
      <protection locked="0"/>
    </xf>
    <xf numFmtId="6" fontId="7" fillId="4" borderId="1" xfId="2" applyNumberFormat="1" applyFont="1" applyFill="1" applyBorder="1" applyProtection="1">
      <protection locked="0"/>
    </xf>
    <xf numFmtId="6" fontId="7" fillId="4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0" fontId="0" fillId="0" borderId="0" xfId="0" applyProtection="1"/>
    <xf numFmtId="40" fontId="2" fillId="0" borderId="0" xfId="0" applyNumberFormat="1" applyFont="1" applyAlignment="1" applyProtection="1"/>
    <xf numFmtId="40" fontId="3" fillId="0" borderId="0" xfId="0" applyNumberFormat="1" applyFont="1" applyProtection="1"/>
    <xf numFmtId="40" fontId="3" fillId="0" borderId="0" xfId="0" applyNumberFormat="1" applyFont="1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0" fillId="0" borderId="0" xfId="0" applyBorder="1" applyProtection="1"/>
    <xf numFmtId="40" fontId="3" fillId="3" borderId="3" xfId="0" applyNumberFormat="1" applyFont="1" applyFill="1" applyBorder="1" applyProtection="1"/>
    <xf numFmtId="0" fontId="3" fillId="3" borderId="5" xfId="0" applyFont="1" applyFill="1" applyBorder="1" applyAlignment="1" applyProtection="1">
      <alignment horizontal="center"/>
    </xf>
    <xf numFmtId="40" fontId="3" fillId="3" borderId="7" xfId="0" applyNumberFormat="1" applyFont="1" applyFill="1" applyBorder="1" applyProtection="1"/>
    <xf numFmtId="40" fontId="3" fillId="3" borderId="9" xfId="0" applyNumberFormat="1" applyFont="1" applyFill="1" applyBorder="1" applyAlignment="1" applyProtection="1">
      <alignment horizontal="right"/>
    </xf>
    <xf numFmtId="38" fontId="3" fillId="3" borderId="0" xfId="0" applyNumberFormat="1" applyFont="1" applyFill="1" applyBorder="1" applyProtection="1"/>
    <xf numFmtId="38" fontId="3" fillId="3" borderId="9" xfId="0" applyNumberFormat="1" applyFont="1" applyFill="1" applyBorder="1" applyProtection="1"/>
    <xf numFmtId="40" fontId="3" fillId="3" borderId="10" xfId="0" applyNumberFormat="1" applyFont="1" applyFill="1" applyBorder="1" applyProtection="1"/>
    <xf numFmtId="38" fontId="3" fillId="3" borderId="2" xfId="0" applyNumberFormat="1" applyFont="1" applyFill="1" applyBorder="1" applyProtection="1"/>
    <xf numFmtId="38" fontId="3" fillId="3" borderId="8" xfId="0" applyNumberFormat="1" applyFont="1" applyFill="1" applyBorder="1" applyProtection="1"/>
    <xf numFmtId="0" fontId="0" fillId="5" borderId="3" xfId="0" applyFill="1" applyBorder="1" applyProtection="1"/>
    <xf numFmtId="0" fontId="0" fillId="5" borderId="5" xfId="0" applyFill="1" applyBorder="1" applyProtection="1"/>
    <xf numFmtId="0" fontId="0" fillId="5" borderId="7" xfId="0" applyFill="1" applyBorder="1" applyProtection="1"/>
    <xf numFmtId="0" fontId="3" fillId="5" borderId="0" xfId="0" applyFont="1" applyFill="1" applyBorder="1" applyProtection="1"/>
    <xf numFmtId="38" fontId="3" fillId="5" borderId="0" xfId="0" applyNumberFormat="1" applyFont="1" applyFill="1" applyBorder="1" applyAlignment="1" applyProtection="1">
      <alignment horizontal="right"/>
    </xf>
    <xf numFmtId="0" fontId="0" fillId="5" borderId="9" xfId="0" applyFill="1" applyBorder="1" applyProtection="1"/>
    <xf numFmtId="38" fontId="3" fillId="5" borderId="0" xfId="1" applyNumberFormat="1" applyFont="1" applyFill="1" applyBorder="1" applyAlignment="1" applyProtection="1">
      <alignment horizontal="right"/>
    </xf>
    <xf numFmtId="0" fontId="3" fillId="5" borderId="11" xfId="0" applyFont="1" applyFill="1" applyBorder="1" applyProtection="1"/>
    <xf numFmtId="38" fontId="3" fillId="5" borderId="11" xfId="1" applyNumberFormat="1" applyFont="1" applyFill="1" applyBorder="1" applyAlignment="1" applyProtection="1">
      <alignment horizontal="right"/>
    </xf>
    <xf numFmtId="0" fontId="0" fillId="5" borderId="10" xfId="0" applyFill="1" applyBorder="1" applyProtection="1"/>
    <xf numFmtId="0" fontId="0" fillId="5" borderId="8" xfId="0" applyFill="1" applyBorder="1" applyProtection="1"/>
    <xf numFmtId="0" fontId="6" fillId="6" borderId="7" xfId="0" applyFont="1" applyFill="1" applyBorder="1" applyProtection="1"/>
    <xf numFmtId="0" fontId="3" fillId="6" borderId="0" xfId="0" applyFont="1" applyFill="1" applyBorder="1" applyProtection="1"/>
    <xf numFmtId="38" fontId="3" fillId="6" borderId="0" xfId="0" applyNumberFormat="1" applyFont="1" applyFill="1" applyBorder="1" applyProtection="1"/>
    <xf numFmtId="0" fontId="6" fillId="6" borderId="9" xfId="0" applyFont="1" applyFill="1" applyBorder="1" applyProtection="1"/>
    <xf numFmtId="40" fontId="3" fillId="6" borderId="0" xfId="0" applyNumberFormat="1" applyFont="1" applyFill="1" applyBorder="1" applyProtection="1"/>
    <xf numFmtId="40" fontId="3" fillId="6" borderId="11" xfId="0" applyNumberFormat="1" applyFont="1" applyFill="1" applyBorder="1" applyProtection="1"/>
    <xf numFmtId="38" fontId="3" fillId="6" borderId="11" xfId="0" applyNumberFormat="1" applyFont="1" applyFill="1" applyBorder="1" applyProtection="1"/>
    <xf numFmtId="0" fontId="3" fillId="7" borderId="0" xfId="0" applyFont="1" applyFill="1" applyBorder="1" applyAlignment="1" applyProtection="1">
      <alignment horizontal="left"/>
    </xf>
    <xf numFmtId="38" fontId="3" fillId="7" borderId="0" xfId="0" applyNumberFormat="1" applyFont="1" applyFill="1" applyBorder="1" applyAlignment="1" applyProtection="1">
      <alignment horizontal="right"/>
    </xf>
    <xf numFmtId="38" fontId="3" fillId="7" borderId="0" xfId="1" applyNumberFormat="1" applyFont="1" applyFill="1" applyBorder="1" applyAlignment="1" applyProtection="1">
      <alignment horizontal="right"/>
    </xf>
    <xf numFmtId="0" fontId="0" fillId="0" borderId="0" xfId="0" applyBorder="1"/>
    <xf numFmtId="38" fontId="3" fillId="0" borderId="0" xfId="0" applyNumberFormat="1" applyFont="1" applyFill="1" applyBorder="1" applyProtection="1"/>
    <xf numFmtId="40" fontId="4" fillId="0" borderId="0" xfId="4" applyNumberFormat="1" applyAlignment="1" applyProtection="1"/>
    <xf numFmtId="40" fontId="3" fillId="3" borderId="4" xfId="0" applyNumberFormat="1" applyFont="1" applyFill="1" applyBorder="1" applyProtection="1"/>
    <xf numFmtId="40" fontId="3" fillId="3" borderId="0" xfId="0" applyNumberFormat="1" applyFont="1" applyFill="1" applyBorder="1" applyProtection="1"/>
    <xf numFmtId="40" fontId="3" fillId="3" borderId="2" xfId="0" applyNumberFormat="1" applyFont="1" applyFill="1" applyBorder="1" applyProtection="1"/>
    <xf numFmtId="0" fontId="0" fillId="6" borderId="4" xfId="0" applyFill="1" applyBorder="1" applyProtection="1"/>
    <xf numFmtId="0" fontId="0" fillId="6" borderId="0" xfId="0" applyFill="1" applyBorder="1" applyProtection="1"/>
    <xf numFmtId="0" fontId="0" fillId="6" borderId="2" xfId="0" applyFill="1" applyBorder="1" applyProtection="1"/>
    <xf numFmtId="40" fontId="3" fillId="3" borderId="4" xfId="0" applyNumberFormat="1" applyFont="1" applyFill="1" applyBorder="1" applyAlignment="1" applyProtection="1">
      <alignment horizontal="center"/>
    </xf>
    <xf numFmtId="40" fontId="3" fillId="3" borderId="0" xfId="0" applyNumberFormat="1" applyFont="1" applyFill="1" applyBorder="1" applyAlignment="1" applyProtection="1">
      <alignment horizontal="center"/>
    </xf>
    <xf numFmtId="40" fontId="3" fillId="3" borderId="2" xfId="0" applyNumberFormat="1" applyFont="1" applyFill="1" applyBorder="1" applyAlignment="1" applyProtection="1">
      <alignment horizontal="center"/>
    </xf>
    <xf numFmtId="38" fontId="7" fillId="4" borderId="1" xfId="0" applyNumberFormat="1" applyFont="1" applyFill="1" applyBorder="1" applyAlignment="1" applyProtection="1">
      <alignment horizontal="right"/>
      <protection locked="0"/>
    </xf>
    <xf numFmtId="8" fontId="7" fillId="4" borderId="1" xfId="0" applyNumberFormat="1" applyFont="1" applyFill="1" applyBorder="1" applyAlignment="1" applyProtection="1">
      <alignment horizontal="right"/>
      <protection locked="0"/>
    </xf>
    <xf numFmtId="40" fontId="3" fillId="0" borderId="0" xfId="0" applyNumberFormat="1" applyFont="1" applyAlignment="1" applyProtection="1">
      <alignment horizontal="left" indent="2"/>
    </xf>
    <xf numFmtId="0" fontId="3" fillId="5" borderId="4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left"/>
    </xf>
    <xf numFmtId="0" fontId="3" fillId="5" borderId="2" xfId="0" applyFont="1" applyFill="1" applyBorder="1" applyAlignment="1" applyProtection="1">
      <alignment horizontal="left"/>
    </xf>
    <xf numFmtId="0" fontId="3" fillId="6" borderId="2" xfId="0" applyFont="1" applyFill="1" applyBorder="1" applyAlignment="1" applyProtection="1">
      <alignment horizontal="left"/>
    </xf>
    <xf numFmtId="0" fontId="3" fillId="0" borderId="0" xfId="0" applyFont="1" applyBorder="1"/>
    <xf numFmtId="40" fontId="5" fillId="0" borderId="0" xfId="0" applyNumberFormat="1" applyFont="1" applyBorder="1" applyAlignment="1" applyProtection="1">
      <alignment vertical="top"/>
    </xf>
    <xf numFmtId="40" fontId="3" fillId="3" borderId="5" xfId="0" applyNumberFormat="1" applyFont="1" applyFill="1" applyBorder="1" applyAlignment="1" applyProtection="1">
      <alignment horizontal="center"/>
    </xf>
    <xf numFmtId="40" fontId="3" fillId="3" borderId="9" xfId="0" applyNumberFormat="1" applyFont="1" applyFill="1" applyBorder="1" applyAlignment="1" applyProtection="1">
      <alignment horizontal="center"/>
    </xf>
    <xf numFmtId="40" fontId="7" fillId="3" borderId="9" xfId="0" applyNumberFormat="1" applyFont="1" applyFill="1" applyBorder="1" applyAlignment="1" applyProtection="1">
      <alignment horizontal="center"/>
    </xf>
    <xf numFmtId="40" fontId="3" fillId="3" borderId="8" xfId="0" applyNumberFormat="1" applyFont="1" applyFill="1" applyBorder="1" applyProtection="1"/>
    <xf numFmtId="40" fontId="3" fillId="3" borderId="2" xfId="0" applyNumberFormat="1" applyFont="1" applyFill="1" applyBorder="1" applyAlignment="1" applyProtection="1">
      <alignment horizontal="left" indent="1"/>
    </xf>
    <xf numFmtId="40" fontId="3" fillId="6" borderId="4" xfId="0" applyNumberFormat="1" applyFont="1" applyFill="1" applyBorder="1" applyAlignment="1" applyProtection="1"/>
    <xf numFmtId="40" fontId="3" fillId="6" borderId="0" xfId="0" applyNumberFormat="1" applyFont="1" applyFill="1" applyBorder="1" applyAlignment="1" applyProtection="1">
      <alignment wrapText="1"/>
    </xf>
    <xf numFmtId="40" fontId="3" fillId="6" borderId="0" xfId="0" applyNumberFormat="1" applyFont="1" applyFill="1" applyBorder="1" applyAlignment="1" applyProtection="1"/>
    <xf numFmtId="0" fontId="0" fillId="7" borderId="3" xfId="0" applyFill="1" applyBorder="1"/>
    <xf numFmtId="0" fontId="0" fillId="7" borderId="7" xfId="0" applyFill="1" applyBorder="1"/>
    <xf numFmtId="0" fontId="0" fillId="7" borderId="10" xfId="0" applyFill="1" applyBorder="1"/>
    <xf numFmtId="0" fontId="3" fillId="7" borderId="2" xfId="0" applyFont="1" applyFill="1" applyBorder="1" applyAlignment="1" applyProtection="1">
      <alignment horizontal="left"/>
    </xf>
    <xf numFmtId="38" fontId="3" fillId="7" borderId="2" xfId="1" applyNumberFormat="1" applyFont="1" applyFill="1" applyBorder="1" applyAlignment="1" applyProtection="1">
      <alignment horizontal="right"/>
    </xf>
    <xf numFmtId="38" fontId="3" fillId="0" borderId="0" xfId="0" applyNumberFormat="1" applyFont="1" applyFill="1" applyBorder="1"/>
    <xf numFmtId="40" fontId="2" fillId="10" borderId="15" xfId="0" applyNumberFormat="1" applyFont="1" applyFill="1" applyBorder="1" applyAlignment="1" applyProtection="1"/>
    <xf numFmtId="40" fontId="3" fillId="10" borderId="14" xfId="0" applyNumberFormat="1" applyFont="1" applyFill="1" applyBorder="1" applyProtection="1"/>
    <xf numFmtId="40" fontId="3" fillId="10" borderId="17" xfId="0" applyNumberFormat="1" applyFont="1" applyFill="1" applyBorder="1" applyProtection="1"/>
    <xf numFmtId="9" fontId="7" fillId="2" borderId="1" xfId="3" applyFont="1" applyFill="1" applyBorder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alignment horizontal="center"/>
    </xf>
    <xf numFmtId="40" fontId="5" fillId="0" borderId="0" xfId="0" applyNumberFormat="1" applyFont="1" applyFill="1" applyBorder="1" applyAlignment="1" applyProtection="1">
      <alignment horizontal="left"/>
    </xf>
    <xf numFmtId="0" fontId="3" fillId="3" borderId="12" xfId="0" applyFont="1" applyFill="1" applyBorder="1" applyAlignment="1" applyProtection="1">
      <alignment horizontal="center"/>
    </xf>
    <xf numFmtId="40" fontId="3" fillId="5" borderId="0" xfId="2" applyNumberFormat="1" applyFont="1" applyFill="1" applyBorder="1" applyAlignment="1" applyProtection="1"/>
    <xf numFmtId="40" fontId="3" fillId="5" borderId="11" xfId="2" applyNumberFormat="1" applyFont="1" applyFill="1" applyBorder="1" applyAlignment="1" applyProtection="1"/>
    <xf numFmtId="38" fontId="3" fillId="0" borderId="0" xfId="0" applyNumberFormat="1" applyFont="1" applyFill="1" applyBorder="1" applyAlignment="1">
      <alignment horizontal="left" indent="1"/>
    </xf>
    <xf numFmtId="38" fontId="3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 indent="1"/>
    </xf>
    <xf numFmtId="40" fontId="9" fillId="0" borderId="0" xfId="0" applyNumberFormat="1" applyFont="1" applyAlignment="1" applyProtection="1">
      <alignment vertical="center" wrapText="1"/>
    </xf>
    <xf numFmtId="40" fontId="9" fillId="0" borderId="0" xfId="0" applyNumberFormat="1" applyFont="1" applyBorder="1" applyAlignment="1" applyProtection="1">
      <alignment horizontal="justify" vertical="center" wrapText="1"/>
    </xf>
    <xf numFmtId="40" fontId="5" fillId="9" borderId="12" xfId="0" applyNumberFormat="1" applyFont="1" applyFill="1" applyBorder="1" applyAlignment="1" applyProtection="1">
      <alignment horizontal="left"/>
    </xf>
    <xf numFmtId="0" fontId="0" fillId="10" borderId="16" xfId="0" applyFill="1" applyBorder="1" applyProtection="1"/>
    <xf numFmtId="0" fontId="0" fillId="10" borderId="18" xfId="0" applyFill="1" applyBorder="1" applyProtection="1"/>
    <xf numFmtId="0" fontId="0" fillId="10" borderId="19" xfId="0" applyFill="1" applyBorder="1" applyProtection="1"/>
    <xf numFmtId="0" fontId="3" fillId="0" borderId="0" xfId="0" applyFont="1" applyProtection="1"/>
    <xf numFmtId="0" fontId="5" fillId="0" borderId="0" xfId="0" applyFont="1" applyProtection="1"/>
    <xf numFmtId="0" fontId="0" fillId="0" borderId="0" xfId="0" applyAlignment="1" applyProtection="1">
      <alignment horizontal="left" indent="1"/>
    </xf>
    <xf numFmtId="0" fontId="3" fillId="0" borderId="0" xfId="0" applyFont="1" applyBorder="1" applyProtection="1"/>
    <xf numFmtId="0" fontId="3" fillId="0" borderId="0" xfId="0" applyFont="1" applyAlignment="1" applyProtection="1">
      <alignment horizontal="left" indent="2"/>
    </xf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0" fontId="0" fillId="3" borderId="12" xfId="0" applyFill="1" applyBorder="1" applyAlignment="1" applyProtection="1">
      <alignment horizontal="right"/>
    </xf>
    <xf numFmtId="40" fontId="3" fillId="3" borderId="0" xfId="0" applyNumberFormat="1" applyFont="1" applyFill="1" applyBorder="1" applyAlignment="1" applyProtection="1">
      <alignment horizontal="left" indent="1"/>
    </xf>
    <xf numFmtId="0" fontId="0" fillId="3" borderId="2" xfId="0" applyFill="1" applyBorder="1" applyProtection="1"/>
    <xf numFmtId="0" fontId="0" fillId="5" borderId="4" xfId="0" applyFill="1" applyBorder="1" applyProtection="1"/>
    <xf numFmtId="41" fontId="7" fillId="5" borderId="5" xfId="0" applyNumberFormat="1" applyFont="1" applyFill="1" applyBorder="1" applyProtection="1"/>
    <xf numFmtId="0" fontId="0" fillId="5" borderId="0" xfId="0" applyFill="1" applyBorder="1" applyProtection="1"/>
    <xf numFmtId="8" fontId="7" fillId="5" borderId="9" xfId="2" applyNumberFormat="1" applyFont="1" applyFill="1" applyBorder="1" applyProtection="1"/>
    <xf numFmtId="0" fontId="0" fillId="5" borderId="12" xfId="0" applyFill="1" applyBorder="1" applyProtection="1"/>
    <xf numFmtId="0" fontId="0" fillId="5" borderId="12" xfId="0" applyFill="1" applyBorder="1" applyAlignment="1" applyProtection="1">
      <alignment horizontal="right"/>
    </xf>
    <xf numFmtId="41" fontId="7" fillId="5" borderId="9" xfId="0" applyNumberFormat="1" applyFont="1" applyFill="1" applyBorder="1" applyProtection="1"/>
    <xf numFmtId="0" fontId="0" fillId="5" borderId="2" xfId="0" applyFill="1" applyBorder="1" applyProtection="1"/>
    <xf numFmtId="6" fontId="7" fillId="5" borderId="8" xfId="2" applyNumberFormat="1" applyFont="1" applyFill="1" applyBorder="1" applyProtection="1"/>
    <xf numFmtId="0" fontId="0" fillId="6" borderId="5" xfId="0" applyFill="1" applyBorder="1" applyProtection="1"/>
    <xf numFmtId="0" fontId="0" fillId="6" borderId="3" xfId="0" applyFill="1" applyBorder="1" applyProtection="1"/>
    <xf numFmtId="0" fontId="0" fillId="6" borderId="9" xfId="0" applyFill="1" applyBorder="1" applyProtection="1"/>
    <xf numFmtId="0" fontId="0" fillId="6" borderId="7" xfId="0" applyFill="1" applyBorder="1" applyProtection="1"/>
    <xf numFmtId="0" fontId="0" fillId="6" borderId="12" xfId="0" applyFill="1" applyBorder="1" applyProtection="1"/>
    <xf numFmtId="0" fontId="0" fillId="6" borderId="12" xfId="0" applyFill="1" applyBorder="1" applyAlignment="1" applyProtection="1">
      <alignment horizontal="right"/>
    </xf>
    <xf numFmtId="0" fontId="0" fillId="6" borderId="8" xfId="0" applyFill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12" xfId="0" applyBorder="1" applyProtection="1"/>
    <xf numFmtId="0" fontId="0" fillId="8" borderId="15" xfId="0" applyFill="1" applyBorder="1" applyProtection="1"/>
    <xf numFmtId="0" fontId="5" fillId="8" borderId="16" xfId="0" applyFont="1" applyFill="1" applyBorder="1" applyAlignment="1" applyProtection="1">
      <alignment horizontal="left"/>
    </xf>
    <xf numFmtId="0" fontId="0" fillId="8" borderId="13" xfId="0" applyFill="1" applyBorder="1" applyProtection="1"/>
    <xf numFmtId="0" fontId="0" fillId="8" borderId="16" xfId="0" applyFill="1" applyBorder="1" applyProtection="1"/>
    <xf numFmtId="0" fontId="5" fillId="0" borderId="12" xfId="0" applyFont="1" applyFill="1" applyBorder="1" applyAlignment="1" applyProtection="1">
      <alignment horizontal="left"/>
    </xf>
    <xf numFmtId="38" fontId="3" fillId="0" borderId="12" xfId="0" applyNumberFormat="1" applyFont="1" applyBorder="1" applyProtection="1"/>
    <xf numFmtId="0" fontId="0" fillId="8" borderId="14" xfId="0" applyFill="1" applyBorder="1" applyProtection="1"/>
    <xf numFmtId="0" fontId="3" fillId="8" borderId="0" xfId="0" applyFont="1" applyFill="1" applyBorder="1" applyAlignment="1" applyProtection="1">
      <alignment horizontal="left" indent="1"/>
    </xf>
    <xf numFmtId="0" fontId="0" fillId="8" borderId="0" xfId="0" applyFill="1" applyBorder="1" applyProtection="1"/>
    <xf numFmtId="38" fontId="3" fillId="8" borderId="13" xfId="0" applyNumberFormat="1" applyFont="1" applyFill="1" applyBorder="1" applyProtection="1"/>
    <xf numFmtId="38" fontId="3" fillId="8" borderId="0" xfId="0" applyNumberFormat="1" applyFont="1" applyFill="1" applyBorder="1" applyProtection="1"/>
    <xf numFmtId="0" fontId="0" fillId="8" borderId="18" xfId="0" applyFill="1" applyBorder="1" applyProtection="1"/>
    <xf numFmtId="0" fontId="3" fillId="9" borderId="17" xfId="0" applyFont="1" applyFill="1" applyBorder="1" applyProtection="1"/>
    <xf numFmtId="0" fontId="5" fillId="9" borderId="12" xfId="0" applyFont="1" applyFill="1" applyBorder="1" applyAlignment="1" applyProtection="1">
      <alignment horizontal="left" indent="1"/>
    </xf>
    <xf numFmtId="0" fontId="0" fillId="9" borderId="12" xfId="0" applyFill="1" applyBorder="1" applyProtection="1"/>
    <xf numFmtId="38" fontId="5" fillId="9" borderId="12" xfId="0" applyNumberFormat="1" applyFont="1" applyFill="1" applyBorder="1" applyProtection="1"/>
    <xf numFmtId="0" fontId="0" fillId="9" borderId="19" xfId="0" applyFill="1" applyBorder="1" applyProtection="1"/>
    <xf numFmtId="38" fontId="5" fillId="0" borderId="0" xfId="0" quotePrefix="1" applyNumberFormat="1" applyFont="1" applyFill="1" applyProtection="1"/>
    <xf numFmtId="38" fontId="3" fillId="0" borderId="0" xfId="0" applyNumberFormat="1" applyFont="1" applyAlignment="1" applyProtection="1"/>
    <xf numFmtId="38" fontId="3" fillId="0" borderId="0" xfId="0" applyNumberFormat="1" applyFont="1" applyProtection="1"/>
    <xf numFmtId="0" fontId="3" fillId="0" borderId="2" xfId="0" applyFont="1" applyBorder="1" applyAlignment="1" applyProtection="1">
      <alignment horizontal="left" indent="1"/>
    </xf>
    <xf numFmtId="0" fontId="0" fillId="0" borderId="2" xfId="0" applyBorder="1" applyProtection="1"/>
    <xf numFmtId="38" fontId="3" fillId="0" borderId="2" xfId="0" applyNumberFormat="1" applyFont="1" applyBorder="1" applyAlignment="1" applyProtection="1"/>
    <xf numFmtId="38" fontId="3" fillId="0" borderId="2" xfId="0" applyNumberFormat="1" applyFont="1" applyBorder="1" applyProtection="1"/>
    <xf numFmtId="38" fontId="3" fillId="0" borderId="2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 indent="1"/>
    </xf>
    <xf numFmtId="38" fontId="3" fillId="0" borderId="0" xfId="0" applyNumberFormat="1" applyFont="1" applyFill="1" applyBorder="1" applyAlignment="1" applyProtection="1"/>
    <xf numFmtId="38" fontId="3" fillId="0" borderId="0" xfId="0" applyNumberFormat="1" applyFont="1" applyFill="1" applyAlignment="1" applyProtection="1">
      <alignment horizontal="left" indent="1"/>
    </xf>
    <xf numFmtId="38" fontId="3" fillId="0" borderId="0" xfId="0" applyNumberFormat="1" applyFont="1" applyFill="1" applyAlignment="1" applyProtection="1"/>
    <xf numFmtId="38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left" indent="1"/>
    </xf>
    <xf numFmtId="38" fontId="5" fillId="0" borderId="12" xfId="0" applyNumberFormat="1" applyFont="1" applyFill="1" applyBorder="1" applyAlignment="1" applyProtection="1"/>
    <xf numFmtId="0" fontId="3" fillId="0" borderId="12" xfId="0" applyFont="1" applyBorder="1" applyProtection="1"/>
    <xf numFmtId="38" fontId="3" fillId="8" borderId="0" xfId="0" applyNumberFormat="1" applyFont="1" applyFill="1" applyBorder="1" applyAlignment="1" applyProtection="1">
      <alignment horizontal="left" wrapText="1" indent="1"/>
    </xf>
    <xf numFmtId="38" fontId="3" fillId="8" borderId="0" xfId="0" applyNumberFormat="1" applyFont="1" applyFill="1" applyBorder="1" applyAlignment="1" applyProtection="1">
      <alignment horizontal="left" indent="1"/>
    </xf>
    <xf numFmtId="0" fontId="0" fillId="9" borderId="17" xfId="0" applyFill="1" applyBorder="1" applyProtection="1"/>
    <xf numFmtId="38" fontId="3" fillId="0" borderId="4" xfId="0" applyNumberFormat="1" applyFont="1" applyFill="1" applyBorder="1" applyAlignment="1" applyProtection="1"/>
    <xf numFmtId="0" fontId="0" fillId="0" borderId="14" xfId="0" applyBorder="1" applyProtection="1"/>
    <xf numFmtId="38" fontId="3" fillId="8" borderId="13" xfId="0" applyNumberFormat="1" applyFont="1" applyFill="1" applyBorder="1" applyAlignment="1" applyProtection="1"/>
    <xf numFmtId="38" fontId="3" fillId="8" borderId="0" xfId="0" applyNumberFormat="1" applyFont="1" applyFill="1" applyBorder="1" applyAlignment="1" applyProtection="1"/>
    <xf numFmtId="38" fontId="5" fillId="9" borderId="12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left" indent="1"/>
    </xf>
    <xf numFmtId="0" fontId="0" fillId="11" borderId="15" xfId="0" applyFill="1" applyBorder="1" applyProtection="1"/>
    <xf numFmtId="0" fontId="5" fillId="11" borderId="13" xfId="0" applyFont="1" applyFill="1" applyBorder="1" applyProtection="1"/>
    <xf numFmtId="0" fontId="0" fillId="11" borderId="13" xfId="0" applyFill="1" applyBorder="1" applyProtection="1"/>
    <xf numFmtId="0" fontId="0" fillId="11" borderId="16" xfId="0" applyFill="1" applyBorder="1" applyProtection="1"/>
    <xf numFmtId="0" fontId="0" fillId="11" borderId="14" xfId="0" applyFill="1" applyBorder="1" applyProtection="1"/>
    <xf numFmtId="0" fontId="3" fillId="11" borderId="0" xfId="0" applyFont="1" applyFill="1" applyBorder="1" applyAlignment="1" applyProtection="1">
      <alignment horizontal="left" indent="1"/>
    </xf>
    <xf numFmtId="0" fontId="0" fillId="11" borderId="0" xfId="0" applyFill="1" applyBorder="1" applyProtection="1"/>
    <xf numFmtId="38" fontId="3" fillId="11" borderId="13" xfId="0" applyNumberFormat="1" applyFont="1" applyFill="1" applyBorder="1" applyProtection="1"/>
    <xf numFmtId="38" fontId="3" fillId="11" borderId="0" xfId="0" applyNumberFormat="1" applyFont="1" applyFill="1" applyBorder="1" applyProtection="1"/>
    <xf numFmtId="0" fontId="0" fillId="11" borderId="18" xfId="0" applyFill="1" applyBorder="1" applyProtection="1"/>
    <xf numFmtId="0" fontId="0" fillId="11" borderId="17" xfId="0" applyFill="1" applyBorder="1" applyProtection="1"/>
    <xf numFmtId="0" fontId="3" fillId="11" borderId="12" xfId="0" applyFont="1" applyFill="1" applyBorder="1" applyAlignment="1" applyProtection="1">
      <alignment horizontal="left" indent="1"/>
    </xf>
    <xf numFmtId="0" fontId="0" fillId="11" borderId="12" xfId="0" applyFill="1" applyBorder="1" applyProtection="1"/>
    <xf numFmtId="40" fontId="3" fillId="11" borderId="12" xfId="0" applyNumberFormat="1" applyFont="1" applyFill="1" applyBorder="1" applyProtection="1"/>
    <xf numFmtId="0" fontId="0" fillId="11" borderId="19" xfId="0" applyFill="1" applyBorder="1" applyProtection="1"/>
    <xf numFmtId="14" fontId="3" fillId="0" borderId="12" xfId="0" applyNumberFormat="1" applyFont="1" applyBorder="1" applyAlignment="1" applyProtection="1">
      <alignment horizontal="right"/>
    </xf>
    <xf numFmtId="40" fontId="2" fillId="0" borderId="0" xfId="0" applyNumberFormat="1" applyFont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12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4" fontId="7" fillId="2" borderId="1" xfId="3" applyNumberFormat="1" applyFont="1" applyFill="1" applyBorder="1" applyAlignment="1" applyProtection="1">
      <alignment horizontal="right"/>
      <protection locked="0"/>
    </xf>
    <xf numFmtId="164" fontId="0" fillId="0" borderId="0" xfId="0" applyNumberFormat="1"/>
    <xf numFmtId="165" fontId="5" fillId="0" borderId="0" xfId="0" quotePrefix="1" applyNumberFormat="1" applyFont="1" applyFill="1" applyAlignment="1" applyProtection="1">
      <alignment horizontal="left"/>
    </xf>
    <xf numFmtId="38" fontId="3" fillId="0" borderId="0" xfId="0" applyNumberFormat="1" applyFont="1" applyBorder="1" applyProtection="1"/>
    <xf numFmtId="40" fontId="2" fillId="0" borderId="0" xfId="0" applyNumberFormat="1" applyFont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12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6" borderId="10" xfId="0" applyFill="1" applyBorder="1" applyProtection="1"/>
    <xf numFmtId="0" fontId="5" fillId="13" borderId="2" xfId="0" applyFont="1" applyFill="1" applyBorder="1" applyProtection="1"/>
    <xf numFmtId="40" fontId="5" fillId="13" borderId="2" xfId="1" applyNumberFormat="1" applyFont="1" applyFill="1" applyBorder="1" applyAlignment="1" applyProtection="1">
      <alignment horizontal="right"/>
    </xf>
    <xf numFmtId="38" fontId="5" fillId="13" borderId="2" xfId="1" applyNumberFormat="1" applyFont="1" applyFill="1" applyBorder="1" applyAlignment="1" applyProtection="1">
      <alignment horizontal="right"/>
    </xf>
    <xf numFmtId="0" fontId="0" fillId="7" borderId="0" xfId="0" applyFill="1"/>
    <xf numFmtId="0" fontId="0" fillId="7" borderId="4" xfId="0" applyFill="1" applyBorder="1"/>
    <xf numFmtId="0" fontId="3" fillId="7" borderId="7" xfId="0" applyFont="1" applyFill="1" applyBorder="1" applyAlignment="1" applyProtection="1">
      <alignment horizontal="left"/>
    </xf>
    <xf numFmtId="0" fontId="0" fillId="7" borderId="0" xfId="0" applyFill="1" applyBorder="1"/>
    <xf numFmtId="0" fontId="3" fillId="7" borderId="10" xfId="0" applyFont="1" applyFill="1" applyBorder="1" applyAlignment="1" applyProtection="1">
      <alignment horizontal="left"/>
    </xf>
    <xf numFmtId="0" fontId="0" fillId="7" borderId="2" xfId="0" applyFill="1" applyBorder="1"/>
    <xf numFmtId="6" fontId="0" fillId="7" borderId="2" xfId="0" applyNumberFormat="1" applyFill="1" applyBorder="1"/>
    <xf numFmtId="38" fontId="0" fillId="7" borderId="0" xfId="0" applyNumberFormat="1" applyFill="1"/>
    <xf numFmtId="6" fontId="0" fillId="7" borderId="5" xfId="0" applyNumberFormat="1" applyFill="1" applyBorder="1"/>
    <xf numFmtId="6" fontId="0" fillId="7" borderId="8" xfId="0" applyNumberFormat="1" applyFill="1" applyBorder="1"/>
    <xf numFmtId="6" fontId="0" fillId="7" borderId="9" xfId="0" applyNumberFormat="1" applyFill="1" applyBorder="1"/>
    <xf numFmtId="0" fontId="0" fillId="7" borderId="9" xfId="0" applyFill="1" applyBorder="1"/>
    <xf numFmtId="0" fontId="0" fillId="7" borderId="7" xfId="0" applyFill="1" applyBorder="1" applyAlignment="1">
      <alignment horizontal="left" wrapText="1"/>
    </xf>
    <xf numFmtId="0" fontId="0" fillId="7" borderId="0" xfId="0" applyFill="1" applyBorder="1" applyAlignment="1">
      <alignment horizontal="left" wrapText="1"/>
    </xf>
    <xf numFmtId="38" fontId="0" fillId="7" borderId="9" xfId="0" applyNumberFormat="1" applyFill="1" applyBorder="1"/>
    <xf numFmtId="0" fontId="0" fillId="7" borderId="7" xfId="0" applyFill="1" applyBorder="1" applyAlignment="1"/>
    <xf numFmtId="0" fontId="0" fillId="7" borderId="0" xfId="0" applyFill="1" applyBorder="1" applyAlignment="1">
      <alignment wrapText="1"/>
    </xf>
    <xf numFmtId="0" fontId="0" fillId="7" borderId="10" xfId="0" applyFill="1" applyBorder="1" applyAlignment="1"/>
    <xf numFmtId="38" fontId="0" fillId="7" borderId="8" xfId="0" applyNumberFormat="1" applyFill="1" applyBorder="1"/>
    <xf numFmtId="38" fontId="0" fillId="7" borderId="4" xfId="0" applyNumberFormat="1" applyFill="1" applyBorder="1"/>
    <xf numFmtId="0" fontId="0" fillId="7" borderId="5" xfId="0" applyFill="1" applyBorder="1"/>
    <xf numFmtId="38" fontId="0" fillId="7" borderId="0" xfId="0" applyNumberFormat="1" applyFill="1" applyBorder="1"/>
    <xf numFmtId="6" fontId="0" fillId="7" borderId="0" xfId="0" applyNumberFormat="1" applyFill="1" applyBorder="1"/>
    <xf numFmtId="0" fontId="0" fillId="7" borderId="8" xfId="0" applyFill="1" applyBorder="1"/>
    <xf numFmtId="0" fontId="12" fillId="7" borderId="0" xfId="0" applyFont="1" applyFill="1" applyAlignment="1">
      <alignment horizontal="right"/>
    </xf>
    <xf numFmtId="164" fontId="12" fillId="7" borderId="0" xfId="0" applyNumberFormat="1" applyFont="1" applyFill="1" applyAlignment="1">
      <alignment horizontal="right"/>
    </xf>
    <xf numFmtId="164" fontId="0" fillId="7" borderId="0" xfId="0" applyNumberFormat="1" applyFill="1"/>
    <xf numFmtId="164" fontId="0" fillId="7" borderId="2" xfId="0" applyNumberFormat="1" applyFill="1" applyBorder="1"/>
    <xf numFmtId="0" fontId="0" fillId="3" borderId="3" xfId="0" applyFill="1" applyBorder="1" applyProtection="1"/>
    <xf numFmtId="0" fontId="0" fillId="3" borderId="7" xfId="0" applyFill="1" applyBorder="1" applyProtection="1"/>
    <xf numFmtId="0" fontId="0" fillId="3" borderId="10" xfId="0" applyFill="1" applyBorder="1" applyProtection="1"/>
    <xf numFmtId="0" fontId="3" fillId="5" borderId="3" xfId="0" applyFont="1" applyFill="1" applyBorder="1" applyProtection="1"/>
    <xf numFmtId="0" fontId="3" fillId="5" borderId="7" xfId="0" applyFont="1" applyFill="1" applyBorder="1" applyProtection="1"/>
    <xf numFmtId="0" fontId="3" fillId="5" borderId="10" xfId="0" applyFont="1" applyFill="1" applyBorder="1" applyProtection="1"/>
    <xf numFmtId="0" fontId="0" fillId="5" borderId="0" xfId="0" applyFill="1" applyProtection="1"/>
    <xf numFmtId="38" fontId="0" fillId="5" borderId="0" xfId="0" applyNumberFormat="1" applyFill="1" applyProtection="1"/>
    <xf numFmtId="0" fontId="5" fillId="0" borderId="0" xfId="0" applyFont="1" applyFill="1" applyBorder="1" applyAlignment="1" applyProtection="1">
      <alignment horizontal="left"/>
    </xf>
    <xf numFmtId="38" fontId="5" fillId="0" borderId="0" xfId="0" applyNumberFormat="1" applyFont="1" applyFill="1" applyBorder="1" applyAlignment="1" applyProtection="1"/>
    <xf numFmtId="0" fontId="3" fillId="0" borderId="0" xfId="0" applyFont="1" applyFill="1" applyBorder="1" applyProtection="1"/>
    <xf numFmtId="0" fontId="3" fillId="5" borderId="0" xfId="0" applyFont="1" applyFill="1" applyProtection="1"/>
    <xf numFmtId="38" fontId="3" fillId="6" borderId="0" xfId="2" applyNumberFormat="1" applyFont="1" applyFill="1" applyBorder="1" applyProtection="1"/>
    <xf numFmtId="0" fontId="3" fillId="6" borderId="11" xfId="0" applyFont="1" applyFill="1" applyBorder="1" applyProtection="1"/>
    <xf numFmtId="0" fontId="11" fillId="12" borderId="0" xfId="0" applyFont="1" applyFill="1" applyBorder="1" applyProtection="1"/>
    <xf numFmtId="40" fontId="11" fillId="12" borderId="0" xfId="0" applyNumberFormat="1" applyFont="1" applyFill="1" applyBorder="1" applyProtection="1"/>
    <xf numFmtId="38" fontId="11" fillId="12" borderId="0" xfId="0" applyNumberFormat="1" applyFont="1" applyFill="1" applyBorder="1" applyProtection="1"/>
    <xf numFmtId="0" fontId="11" fillId="12" borderId="2" xfId="0" applyFont="1" applyFill="1" applyBorder="1" applyProtection="1"/>
    <xf numFmtId="40" fontId="11" fillId="12" borderId="2" xfId="0" applyNumberFormat="1" applyFont="1" applyFill="1" applyBorder="1" applyProtection="1"/>
    <xf numFmtId="38" fontId="11" fillId="12" borderId="2" xfId="0" applyNumberFormat="1" applyFont="1" applyFill="1" applyBorder="1" applyProtection="1"/>
    <xf numFmtId="40" fontId="13" fillId="0" borderId="0" xfId="0" applyNumberFormat="1" applyFont="1" applyFill="1" applyBorder="1" applyAlignment="1" applyProtection="1">
      <alignment vertical="center" wrapText="1"/>
    </xf>
    <xf numFmtId="40" fontId="5" fillId="0" borderId="0" xfId="0" applyNumberFormat="1" applyFont="1" applyAlignment="1" applyProtection="1">
      <alignment horizontal="left"/>
    </xf>
    <xf numFmtId="0" fontId="14" fillId="0" borderId="0" xfId="0" applyFont="1" applyProtection="1"/>
    <xf numFmtId="0" fontId="9" fillId="5" borderId="4" xfId="0" applyFont="1" applyFill="1" applyBorder="1" applyAlignment="1" applyProtection="1">
      <alignment horizontal="left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Protection="1"/>
    <xf numFmtId="0" fontId="9" fillId="5" borderId="2" xfId="0" applyFont="1" applyFill="1" applyBorder="1" applyAlignment="1" applyProtection="1">
      <alignment horizontal="left"/>
    </xf>
    <xf numFmtId="0" fontId="15" fillId="5" borderId="2" xfId="0" applyFont="1" applyFill="1" applyBorder="1" applyProtection="1"/>
    <xf numFmtId="164" fontId="15" fillId="5" borderId="2" xfId="0" applyNumberFormat="1" applyFont="1" applyFill="1" applyBorder="1" applyProtection="1"/>
    <xf numFmtId="165" fontId="0" fillId="0" borderId="0" xfId="0" applyNumberFormat="1" applyProtection="1"/>
    <xf numFmtId="9" fontId="3" fillId="11" borderId="0" xfId="3" applyFont="1" applyFill="1" applyBorder="1" applyProtection="1"/>
    <xf numFmtId="0" fontId="0" fillId="7" borderId="0" xfId="0" applyFill="1" applyAlignment="1">
      <alignment horizontal="left" wrapText="1"/>
    </xf>
    <xf numFmtId="40" fontId="13" fillId="6" borderId="4" xfId="0" applyNumberFormat="1" applyFont="1" applyFill="1" applyBorder="1" applyAlignment="1" applyProtection="1">
      <alignment horizontal="center" vertical="center" wrapText="1"/>
    </xf>
    <xf numFmtId="40" fontId="13" fillId="6" borderId="0" xfId="0" applyNumberFormat="1" applyFont="1" applyFill="1" applyBorder="1" applyAlignment="1" applyProtection="1">
      <alignment horizontal="center" vertical="center" wrapText="1"/>
    </xf>
    <xf numFmtId="40" fontId="13" fillId="6" borderId="2" xfId="0" applyNumberFormat="1" applyFont="1" applyFill="1" applyBorder="1" applyAlignment="1" applyProtection="1">
      <alignment horizontal="center" vertical="center" wrapText="1"/>
    </xf>
    <xf numFmtId="38" fontId="3" fillId="0" borderId="0" xfId="0" applyNumberFormat="1" applyFont="1" applyFill="1" applyBorder="1" applyAlignment="1">
      <alignment horizontal="left" wrapText="1"/>
    </xf>
    <xf numFmtId="40" fontId="10" fillId="0" borderId="0" xfId="0" applyNumberFormat="1" applyFont="1" applyBorder="1" applyAlignment="1" applyProtection="1">
      <alignment horizontal="justify" vertical="center" wrapText="1"/>
    </xf>
    <xf numFmtId="40" fontId="2" fillId="0" borderId="0" xfId="0" applyNumberFormat="1" applyFont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2" xfId="0" applyFont="1" applyBorder="1" applyAlignment="1" applyProtection="1">
      <alignment horizontal="right"/>
    </xf>
    <xf numFmtId="0" fontId="0" fillId="3" borderId="6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9" fillId="0" borderId="0" xfId="0" applyFont="1" applyAlignment="1">
      <alignment horizontal="left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2"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9" defaultPivotStyle="PivotStyleLight16"/>
  <colors>
    <mruColors>
      <color rgb="FFFFFF00"/>
      <color rgb="FF0080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161925</xdr:colOff>
      <xdr:row>1</xdr:row>
      <xdr:rowOff>247650</xdr:rowOff>
    </xdr:from>
    <xdr:to>
      <xdr:col>17</xdr:col>
      <xdr:colOff>561930</xdr:colOff>
      <xdr:row>5</xdr:row>
      <xdr:rowOff>466554</xdr:rowOff>
    </xdr:to>
    <xdr:pic>
      <xdr:nvPicPr>
        <xdr:cNvPr id="2" name="Picture 1" descr="CSU-ext-rght-Gre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6025" y="419100"/>
          <a:ext cx="1114380" cy="990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161925</xdr:colOff>
      <xdr:row>1</xdr:row>
      <xdr:rowOff>247650</xdr:rowOff>
    </xdr:from>
    <xdr:to>
      <xdr:col>17</xdr:col>
      <xdr:colOff>561930</xdr:colOff>
      <xdr:row>5</xdr:row>
      <xdr:rowOff>466554</xdr:rowOff>
    </xdr:to>
    <xdr:pic>
      <xdr:nvPicPr>
        <xdr:cNvPr id="2" name="Picture 1" descr="CSU-ext-rght-Gre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48425" y="419100"/>
          <a:ext cx="1114380" cy="990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4"/>
  <sheetViews>
    <sheetView showGridLines="0" showRowColHeaders="0" tabSelected="1" zoomScaleNormal="100" workbookViewId="0">
      <selection activeCell="AB26" sqref="AB26"/>
    </sheetView>
  </sheetViews>
  <sheetFormatPr defaultRowHeight="13.2" x14ac:dyDescent="0.25"/>
  <cols>
    <col min="2" max="2" width="0.88671875" customWidth="1"/>
    <col min="3" max="3" width="11.6640625" customWidth="1"/>
    <col min="4" max="4" width="0.88671875" customWidth="1"/>
    <col min="5" max="5" width="11.6640625" customWidth="1"/>
    <col min="6" max="6" width="0.88671875" customWidth="1"/>
    <col min="7" max="7" width="11.6640625" customWidth="1"/>
    <col min="8" max="8" width="0.88671875" customWidth="1"/>
    <col min="10" max="10" width="0.88671875" customWidth="1"/>
    <col min="11" max="11" width="2.6640625" customWidth="1"/>
    <col min="12" max="12" width="0.88671875" customWidth="1"/>
    <col min="13" max="15" width="10.6640625" customWidth="1"/>
    <col min="16" max="16" width="0.88671875" customWidth="1"/>
    <col min="17" max="18" width="10.6640625" customWidth="1"/>
    <col min="19" max="19" width="0.88671875" customWidth="1"/>
    <col min="20" max="20" width="4.6640625" customWidth="1"/>
    <col min="22" max="24" width="10.6640625" customWidth="1"/>
    <col min="25" max="25" width="10.6640625" bestFit="1" customWidth="1"/>
  </cols>
  <sheetData>
    <row r="1" spans="1:26" ht="13.8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6" ht="21" x14ac:dyDescent="0.4">
      <c r="A2" s="14"/>
      <c r="B2" s="14"/>
      <c r="C2" s="271" t="s">
        <v>0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190"/>
      <c r="Q2" s="85"/>
      <c r="R2" s="100"/>
      <c r="S2" s="15"/>
      <c r="T2" s="14"/>
    </row>
    <row r="3" spans="1:26" ht="14.4" x14ac:dyDescent="0.3">
      <c r="A3" s="14"/>
      <c r="B3" s="14"/>
      <c r="C3" s="16" t="s">
        <v>73</v>
      </c>
      <c r="D3" s="16"/>
      <c r="E3" s="16"/>
      <c r="F3" s="16"/>
      <c r="G3" s="16"/>
      <c r="H3" s="16"/>
      <c r="I3" s="16"/>
      <c r="J3" s="16"/>
      <c r="K3" s="14"/>
      <c r="L3" s="14"/>
      <c r="M3" s="14"/>
      <c r="N3" s="14"/>
      <c r="O3" s="14"/>
      <c r="P3" s="14"/>
      <c r="Q3" s="86"/>
      <c r="R3" s="101"/>
      <c r="S3" s="14"/>
      <c r="T3" s="14"/>
    </row>
    <row r="4" spans="1:26" ht="14.4" x14ac:dyDescent="0.3">
      <c r="A4" s="14"/>
      <c r="B4" s="14"/>
      <c r="C4" s="64" t="s">
        <v>59</v>
      </c>
      <c r="D4" s="64"/>
      <c r="E4" s="16"/>
      <c r="F4" s="16"/>
      <c r="G4" s="16"/>
      <c r="H4" s="16"/>
      <c r="I4" s="16"/>
      <c r="J4" s="16"/>
      <c r="K4" s="52"/>
      <c r="L4" s="52"/>
      <c r="M4" s="52"/>
      <c r="N4" s="52"/>
      <c r="O4" s="52"/>
      <c r="P4" s="52"/>
      <c r="Q4" s="86"/>
      <c r="R4" s="101"/>
      <c r="S4" s="52"/>
      <c r="T4" s="14"/>
    </row>
    <row r="5" spans="1:26" ht="9.9" customHeight="1" x14ac:dyDescent="0.3">
      <c r="A5" s="14"/>
      <c r="B5" s="14"/>
      <c r="C5" s="64"/>
      <c r="D5" s="64"/>
      <c r="E5" s="16"/>
      <c r="F5" s="16"/>
      <c r="G5" s="16"/>
      <c r="H5" s="16"/>
      <c r="I5" s="16"/>
      <c r="J5" s="16"/>
      <c r="K5" s="52"/>
      <c r="L5" s="52"/>
      <c r="M5" s="52"/>
      <c r="N5" s="52"/>
      <c r="O5" s="52"/>
      <c r="P5" s="52"/>
      <c r="Q5" s="86"/>
      <c r="R5" s="101"/>
      <c r="S5" s="52"/>
      <c r="T5" s="14"/>
    </row>
    <row r="6" spans="1:26" ht="54.9" customHeight="1" thickBot="1" x14ac:dyDescent="0.35">
      <c r="A6" s="14"/>
      <c r="B6" s="14"/>
      <c r="C6" s="270" t="s">
        <v>114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98"/>
      <c r="Q6" s="87"/>
      <c r="R6" s="102"/>
      <c r="S6" s="97"/>
      <c r="T6" s="14"/>
    </row>
    <row r="7" spans="1:26" ht="15" customHeight="1" x14ac:dyDescent="0.3">
      <c r="A7" s="103"/>
      <c r="B7" s="103"/>
      <c r="C7" s="104" t="s">
        <v>48</v>
      </c>
      <c r="D7" s="104"/>
      <c r="E7" s="103"/>
      <c r="F7" s="103"/>
      <c r="G7" s="103"/>
      <c r="H7" s="103"/>
      <c r="I7" s="103"/>
      <c r="J7" s="103"/>
      <c r="K7" s="14"/>
      <c r="L7" s="103"/>
      <c r="M7" s="104" t="s">
        <v>49</v>
      </c>
      <c r="N7" s="104"/>
      <c r="O7" s="104"/>
      <c r="P7" s="104"/>
      <c r="Q7" s="103"/>
      <c r="R7" s="103"/>
      <c r="S7" s="103"/>
      <c r="T7" s="14"/>
    </row>
    <row r="8" spans="1:26" ht="15" customHeight="1" x14ac:dyDescent="0.3">
      <c r="A8" s="103"/>
      <c r="B8" s="103"/>
      <c r="C8" s="17" t="s">
        <v>2</v>
      </c>
      <c r="D8" s="17"/>
      <c r="E8" s="103"/>
      <c r="F8" s="103"/>
      <c r="G8" s="103"/>
      <c r="H8" s="103"/>
      <c r="I8" s="1">
        <v>100</v>
      </c>
      <c r="J8" s="103"/>
      <c r="K8" s="14"/>
      <c r="L8" s="103"/>
      <c r="M8" s="18" t="s">
        <v>88</v>
      </c>
      <c r="N8" s="18"/>
      <c r="O8" s="18"/>
      <c r="P8" s="18"/>
      <c r="Q8" s="103"/>
      <c r="R8" s="88">
        <v>0.94</v>
      </c>
      <c r="S8" s="103"/>
      <c r="T8" s="14"/>
      <c r="V8" s="206" t="s">
        <v>83</v>
      </c>
      <c r="W8" s="206"/>
      <c r="X8" s="206"/>
      <c r="Y8" s="213">
        <f>I8*R9</f>
        <v>75</v>
      </c>
      <c r="Z8" s="206" t="s">
        <v>86</v>
      </c>
    </row>
    <row r="9" spans="1:26" ht="15" customHeight="1" x14ac:dyDescent="0.3">
      <c r="A9" s="103"/>
      <c r="B9" s="103"/>
      <c r="C9" s="17" t="s">
        <v>90</v>
      </c>
      <c r="D9" s="17"/>
      <c r="E9" s="103"/>
      <c r="F9" s="103"/>
      <c r="G9" s="103"/>
      <c r="H9" s="103"/>
      <c r="I9" s="1">
        <v>1200</v>
      </c>
      <c r="J9" s="103"/>
      <c r="K9" s="14"/>
      <c r="L9" s="103"/>
      <c r="M9" s="17" t="s">
        <v>89</v>
      </c>
      <c r="N9" s="18"/>
      <c r="O9" s="18"/>
      <c r="P9" s="18"/>
      <c r="Q9" s="103"/>
      <c r="R9" s="88">
        <v>0.75</v>
      </c>
      <c r="S9" s="103"/>
      <c r="T9" s="14"/>
    </row>
    <row r="10" spans="1:26" ht="15" customHeight="1" x14ac:dyDescent="0.3">
      <c r="A10" s="103"/>
      <c r="B10" s="103"/>
      <c r="C10" s="18" t="s">
        <v>4</v>
      </c>
      <c r="D10" s="18"/>
      <c r="E10" s="103"/>
      <c r="F10" s="103"/>
      <c r="G10" s="103"/>
      <c r="H10" s="103"/>
      <c r="I10" s="2">
        <v>850</v>
      </c>
      <c r="J10" s="103"/>
      <c r="K10" s="14"/>
      <c r="L10" s="103"/>
      <c r="M10" s="17" t="s">
        <v>32</v>
      </c>
      <c r="N10" s="105"/>
      <c r="O10" s="105"/>
      <c r="P10" s="105"/>
      <c r="Q10" s="14"/>
      <c r="R10" s="62">
        <v>375</v>
      </c>
      <c r="S10" s="14"/>
      <c r="T10" s="14"/>
    </row>
    <row r="11" spans="1:26" ht="15" customHeight="1" x14ac:dyDescent="0.3">
      <c r="A11" s="103"/>
      <c r="B11" s="103"/>
      <c r="C11" s="105" t="s">
        <v>66</v>
      </c>
      <c r="D11" s="18"/>
      <c r="E11" s="103"/>
      <c r="F11" s="103"/>
      <c r="G11" s="103"/>
      <c r="H11" s="103"/>
      <c r="I11" s="1">
        <v>15</v>
      </c>
      <c r="J11" s="103"/>
      <c r="K11" s="14"/>
      <c r="L11" s="103"/>
      <c r="M11" s="17" t="s">
        <v>33</v>
      </c>
      <c r="N11" s="105"/>
      <c r="O11" s="105"/>
      <c r="P11" s="105"/>
      <c r="Q11" s="14"/>
      <c r="R11" s="62">
        <v>600</v>
      </c>
      <c r="S11" s="14"/>
      <c r="T11" s="14"/>
    </row>
    <row r="12" spans="1:26" ht="15" customHeight="1" x14ac:dyDescent="0.3">
      <c r="A12" s="103"/>
      <c r="B12" s="103"/>
      <c r="C12" s="18" t="s">
        <v>53</v>
      </c>
      <c r="D12" s="18"/>
      <c r="E12" s="103"/>
      <c r="F12" s="103"/>
      <c r="G12" s="103"/>
      <c r="H12" s="103"/>
      <c r="I12" s="2">
        <v>500</v>
      </c>
      <c r="J12" s="103"/>
      <c r="K12" s="14"/>
      <c r="L12" s="103"/>
      <c r="M12" s="17" t="s">
        <v>50</v>
      </c>
      <c r="N12" s="105"/>
      <c r="O12" s="105"/>
      <c r="P12" s="105"/>
      <c r="Q12" s="14"/>
      <c r="R12" s="14"/>
      <c r="S12" s="14"/>
      <c r="T12" s="14"/>
    </row>
    <row r="13" spans="1:26" ht="15" customHeight="1" x14ac:dyDescent="0.3">
      <c r="A13" s="103"/>
      <c r="B13" s="103"/>
      <c r="C13" s="18" t="s">
        <v>63</v>
      </c>
      <c r="D13" s="18"/>
      <c r="E13" s="103"/>
      <c r="F13" s="103"/>
      <c r="G13" s="103"/>
      <c r="H13" s="103"/>
      <c r="I13" s="88">
        <v>0</v>
      </c>
      <c r="J13" s="103"/>
      <c r="K13" s="14"/>
      <c r="L13" s="103"/>
      <c r="M13" s="64" t="s">
        <v>51</v>
      </c>
      <c r="N13" s="105"/>
      <c r="O13" s="105"/>
      <c r="P13" s="105"/>
      <c r="Q13" s="14"/>
      <c r="R13" s="63">
        <v>1.45</v>
      </c>
      <c r="S13" s="14"/>
      <c r="T13" s="14"/>
    </row>
    <row r="14" spans="1:26" ht="15" customHeight="1" x14ac:dyDescent="0.3">
      <c r="A14" s="103"/>
      <c r="B14" s="103"/>
      <c r="C14" s="104" t="s">
        <v>52</v>
      </c>
      <c r="D14" s="104"/>
      <c r="E14" s="103"/>
      <c r="F14" s="103"/>
      <c r="G14" s="103"/>
      <c r="H14" s="103"/>
      <c r="I14" s="103"/>
      <c r="J14" s="103"/>
      <c r="K14" s="14"/>
      <c r="L14" s="103"/>
      <c r="M14" s="107" t="s">
        <v>92</v>
      </c>
      <c r="N14" s="105"/>
      <c r="O14" s="105"/>
      <c r="P14" s="105"/>
      <c r="Q14" s="14"/>
      <c r="R14" s="63">
        <v>1.32</v>
      </c>
      <c r="S14" s="14"/>
      <c r="T14" s="14"/>
    </row>
    <row r="15" spans="1:26" ht="15" customHeight="1" x14ac:dyDescent="0.3">
      <c r="A15" s="103"/>
      <c r="B15" s="103"/>
      <c r="C15" s="18" t="s">
        <v>64</v>
      </c>
      <c r="D15" s="104"/>
      <c r="E15" s="103"/>
      <c r="F15" s="103"/>
      <c r="G15" s="103"/>
      <c r="H15" s="103"/>
      <c r="I15" s="3">
        <v>6.5000000000000002E-2</v>
      </c>
      <c r="J15" s="103"/>
      <c r="K15" s="14"/>
      <c r="L15" s="103"/>
      <c r="M15" s="107" t="s">
        <v>125</v>
      </c>
      <c r="N15" s="18"/>
      <c r="O15" s="18"/>
      <c r="P15" s="18"/>
      <c r="Q15" s="14"/>
      <c r="R15" s="63">
        <v>1.25</v>
      </c>
      <c r="S15" s="14"/>
      <c r="T15" s="14"/>
      <c r="V15" s="206"/>
      <c r="W15" s="230" t="s">
        <v>78</v>
      </c>
      <c r="X15" s="231" t="s">
        <v>79</v>
      </c>
    </row>
    <row r="16" spans="1:26" ht="15" customHeight="1" x14ac:dyDescent="0.3">
      <c r="A16" s="103"/>
      <c r="B16" s="103"/>
      <c r="C16" s="18" t="s">
        <v>65</v>
      </c>
      <c r="D16" s="17"/>
      <c r="E16" s="103"/>
      <c r="F16" s="103"/>
      <c r="G16" s="103"/>
      <c r="H16" s="103"/>
      <c r="I16" s="3">
        <v>1.2500000000000001E-2</v>
      </c>
      <c r="J16" s="103"/>
      <c r="K16" s="14"/>
      <c r="L16" s="103"/>
      <c r="M16" s="107" t="s">
        <v>124</v>
      </c>
      <c r="N16" s="18"/>
      <c r="O16" s="18"/>
      <c r="P16" s="18"/>
      <c r="Q16" s="14"/>
      <c r="R16" s="63">
        <v>1.2</v>
      </c>
      <c r="S16" s="14"/>
      <c r="T16" s="14"/>
      <c r="V16" s="232">
        <f>I21</f>
        <v>2011</v>
      </c>
      <c r="W16" s="232">
        <f>12-I20</f>
        <v>4</v>
      </c>
      <c r="X16" s="232">
        <f>W16*30</f>
        <v>120</v>
      </c>
    </row>
    <row r="17" spans="1:26" ht="15" customHeight="1" x14ac:dyDescent="0.3">
      <c r="A17" s="103"/>
      <c r="B17" s="103"/>
      <c r="C17" s="105" t="s">
        <v>43</v>
      </c>
      <c r="D17" s="17"/>
      <c r="E17" s="103"/>
      <c r="F17" s="103"/>
      <c r="G17" s="103"/>
      <c r="H17" s="103"/>
      <c r="I17" s="2">
        <v>0</v>
      </c>
      <c r="J17" s="103"/>
      <c r="K17" s="14"/>
      <c r="L17" s="103"/>
      <c r="M17" s="14"/>
      <c r="N17" s="105"/>
      <c r="O17" s="105"/>
      <c r="P17" s="105"/>
      <c r="Q17" s="14"/>
      <c r="R17" s="14"/>
      <c r="S17" s="14"/>
      <c r="T17" s="14"/>
      <c r="V17" s="232">
        <f>IF($R$19&gt;(V16+1),V16+1,$R$19)</f>
        <v>2012</v>
      </c>
      <c r="W17" s="232">
        <f>IF(V17&lt;$R$19,IF(V17&lt;2000,0,12),$R$18)</f>
        <v>12</v>
      </c>
      <c r="X17" s="232">
        <f t="shared" ref="X17:X18" si="0">W17*30</f>
        <v>360</v>
      </c>
    </row>
    <row r="18" spans="1:26" ht="15" customHeight="1" x14ac:dyDescent="0.3">
      <c r="A18" s="103"/>
      <c r="B18" s="103"/>
      <c r="C18" s="17" t="s">
        <v>31</v>
      </c>
      <c r="D18" s="17"/>
      <c r="E18" s="103"/>
      <c r="F18" s="103"/>
      <c r="G18" s="103"/>
      <c r="H18" s="103"/>
      <c r="I18" s="4">
        <v>0.19</v>
      </c>
      <c r="J18" s="103"/>
      <c r="K18" s="19"/>
      <c r="L18" s="106"/>
      <c r="M18" s="104" t="s">
        <v>117</v>
      </c>
      <c r="N18" s="17"/>
      <c r="O18" s="255" t="s">
        <v>118</v>
      </c>
      <c r="P18" s="17"/>
      <c r="Q18" s="14"/>
      <c r="R18" s="194">
        <v>1</v>
      </c>
      <c r="S18" s="14"/>
      <c r="T18" s="14"/>
      <c r="V18" s="232">
        <f>IF($R$19&gt;(V17+1),V17+1,IF(V17=$R$19,0,$R$19))</f>
        <v>2013</v>
      </c>
      <c r="W18" s="232">
        <f>IF(V18&lt;$R$19,IF(V18&lt;2000,0,12),$R$18)</f>
        <v>1</v>
      </c>
      <c r="X18" s="232">
        <f t="shared" si="0"/>
        <v>30</v>
      </c>
    </row>
    <row r="19" spans="1:26" ht="15" customHeight="1" x14ac:dyDescent="0.3">
      <c r="A19" s="103"/>
      <c r="B19" s="103"/>
      <c r="J19" s="103"/>
      <c r="K19" s="14"/>
      <c r="L19" s="103"/>
      <c r="M19" s="104"/>
      <c r="N19" s="14"/>
      <c r="O19" s="256" t="s">
        <v>119</v>
      </c>
      <c r="P19" s="14"/>
      <c r="Q19" s="14"/>
      <c r="R19" s="194">
        <v>2013</v>
      </c>
      <c r="S19" s="14"/>
      <c r="T19" s="14"/>
      <c r="V19" s="232">
        <f>IF($R$19&gt;(V18+1),V18+1,IF(V18=$R$19,0,$R$19))</f>
        <v>0</v>
      </c>
      <c r="W19" s="232">
        <f>IF(V19&lt;$R$19,IF(V19&lt;2000,0,12),$R$18)</f>
        <v>0</v>
      </c>
      <c r="X19" s="232">
        <f t="shared" ref="X19" si="1">W19*30</f>
        <v>0</v>
      </c>
    </row>
    <row r="20" spans="1:26" ht="15" customHeight="1" x14ac:dyDescent="0.3">
      <c r="A20" s="103"/>
      <c r="B20" s="103"/>
      <c r="C20" s="90" t="s">
        <v>72</v>
      </c>
      <c r="I20" s="194">
        <v>8</v>
      </c>
      <c r="J20" s="103"/>
      <c r="K20" s="14"/>
      <c r="L20" s="103"/>
      <c r="M20" s="279" t="s">
        <v>120</v>
      </c>
      <c r="N20" s="279"/>
      <c r="O20" s="279"/>
      <c r="P20" s="279"/>
      <c r="Q20" s="279"/>
      <c r="S20" s="14"/>
      <c r="T20" s="14"/>
      <c r="V20" s="233">
        <f>IF($R$19&gt;(V19+1),V19+1,IF(V19=$R$19,0,$R$19))</f>
        <v>1</v>
      </c>
      <c r="W20" s="233">
        <f>IF(V20&lt;$R$19,IF(V20&lt;2000,0,12),$R$18)</f>
        <v>0</v>
      </c>
      <c r="X20" s="233">
        <f>W20*30</f>
        <v>0</v>
      </c>
    </row>
    <row r="21" spans="1:26" ht="15" customHeight="1" x14ac:dyDescent="0.3">
      <c r="A21" s="103"/>
      <c r="B21" s="103"/>
      <c r="C21" s="104" t="s">
        <v>76</v>
      </c>
      <c r="I21" s="194">
        <v>2011</v>
      </c>
      <c r="J21" s="103"/>
      <c r="K21" s="14"/>
      <c r="L21" s="103"/>
      <c r="M21" s="279"/>
      <c r="N21" s="279"/>
      <c r="O21" s="279"/>
      <c r="P21" s="279"/>
      <c r="Q21" s="279"/>
      <c r="S21" s="14"/>
      <c r="T21" s="14"/>
      <c r="V21" s="232"/>
      <c r="W21" s="232">
        <f>SUM(W16:W20)</f>
        <v>17</v>
      </c>
      <c r="X21" s="232">
        <f>SUM(X16:X20)</f>
        <v>510</v>
      </c>
    </row>
    <row r="22" spans="1:26" ht="9.9" customHeight="1" x14ac:dyDescent="0.3">
      <c r="A22" s="103"/>
      <c r="B22" s="103"/>
      <c r="C22" s="14"/>
      <c r="D22" s="14"/>
      <c r="E22" s="14"/>
      <c r="F22" s="14"/>
      <c r="G22" s="14"/>
      <c r="H22" s="14"/>
      <c r="I22" s="14"/>
      <c r="J22" s="103"/>
      <c r="K22" s="14"/>
      <c r="L22" s="103"/>
      <c r="M22" s="14"/>
      <c r="N22" s="103"/>
      <c r="O22" s="103"/>
      <c r="P22" s="103"/>
      <c r="Q22" s="103"/>
      <c r="R22" s="14"/>
      <c r="S22" s="103"/>
      <c r="T22" s="14"/>
    </row>
    <row r="23" spans="1:26" ht="15" customHeight="1" x14ac:dyDescent="0.3">
      <c r="A23" s="103"/>
      <c r="B23" s="14"/>
      <c r="C23" s="70" t="s">
        <v>5</v>
      </c>
      <c r="D23" s="70"/>
      <c r="E23" s="103"/>
      <c r="F23" s="103"/>
      <c r="G23" s="103"/>
      <c r="H23" s="103"/>
      <c r="I23" s="103"/>
      <c r="J23" s="103"/>
      <c r="K23" s="14"/>
      <c r="L23" s="14"/>
      <c r="M23" s="14"/>
      <c r="N23" s="14"/>
      <c r="O23" s="14"/>
      <c r="P23" s="14"/>
      <c r="Q23" s="14"/>
      <c r="R23" s="14"/>
      <c r="S23" s="14"/>
      <c r="T23" s="14"/>
      <c r="V23" s="195"/>
      <c r="W23" s="195"/>
      <c r="X23" s="195"/>
    </row>
    <row r="24" spans="1:26" ht="15" customHeight="1" x14ac:dyDescent="0.3">
      <c r="A24" s="103"/>
      <c r="B24" s="234"/>
      <c r="C24" s="53"/>
      <c r="D24" s="53"/>
      <c r="E24" s="108"/>
      <c r="F24" s="108"/>
      <c r="G24" s="108"/>
      <c r="H24" s="53"/>
      <c r="I24" s="59" t="s">
        <v>6</v>
      </c>
      <c r="J24" s="71"/>
      <c r="K24" s="14"/>
      <c r="L24" s="20"/>
      <c r="M24" s="89" t="s">
        <v>7</v>
      </c>
      <c r="N24" s="89"/>
      <c r="O24" s="89"/>
      <c r="P24" s="89"/>
      <c r="Q24" s="275" t="s">
        <v>8</v>
      </c>
      <c r="R24" s="275"/>
      <c r="S24" s="21"/>
      <c r="T24" s="14"/>
    </row>
    <row r="25" spans="1:26" ht="15" customHeight="1" thickBot="1" x14ac:dyDescent="0.35">
      <c r="A25" s="103"/>
      <c r="B25" s="235"/>
      <c r="C25" s="55" t="s">
        <v>9</v>
      </c>
      <c r="D25" s="54"/>
      <c r="E25" s="109"/>
      <c r="F25" s="109"/>
      <c r="G25" s="60" t="s">
        <v>10</v>
      </c>
      <c r="H25" s="110"/>
      <c r="I25" s="60" t="s">
        <v>11</v>
      </c>
      <c r="J25" s="72"/>
      <c r="K25" s="14"/>
      <c r="L25" s="22"/>
      <c r="M25" s="91" t="s">
        <v>12</v>
      </c>
      <c r="N25" s="91"/>
      <c r="O25" s="91"/>
      <c r="P25" s="91"/>
      <c r="Q25" s="111" t="s">
        <v>13</v>
      </c>
      <c r="R25" s="111" t="s">
        <v>14</v>
      </c>
      <c r="S25" s="23"/>
      <c r="T25" s="14"/>
    </row>
    <row r="26" spans="1:26" ht="15" customHeight="1" x14ac:dyDescent="0.3">
      <c r="A26" s="103"/>
      <c r="B26" s="235"/>
      <c r="C26" s="112" t="s">
        <v>15</v>
      </c>
      <c r="D26" s="112"/>
      <c r="E26" s="109"/>
      <c r="F26" s="109"/>
      <c r="G26" s="5">
        <v>22</v>
      </c>
      <c r="H26" s="110"/>
      <c r="I26" s="6">
        <v>240</v>
      </c>
      <c r="J26" s="73"/>
      <c r="K26" s="14"/>
      <c r="L26" s="22"/>
      <c r="M26" s="7">
        <f>X16</f>
        <v>120</v>
      </c>
      <c r="N26" s="7"/>
      <c r="O26" s="7"/>
      <c r="P26" s="7"/>
      <c r="Q26" s="54">
        <f>I28*M26</f>
        <v>316.79999999999995</v>
      </c>
      <c r="R26" s="24">
        <f>Q26*I8</f>
        <v>31679.999999999996</v>
      </c>
      <c r="S26" s="25"/>
      <c r="T26" s="14"/>
    </row>
    <row r="27" spans="1:26" ht="15" customHeight="1" x14ac:dyDescent="0.3">
      <c r="A27" s="103"/>
      <c r="B27" s="235"/>
      <c r="C27" s="75" t="s">
        <v>16</v>
      </c>
      <c r="D27" s="75"/>
      <c r="E27" s="113"/>
      <c r="F27" s="109"/>
      <c r="G27" s="5">
        <v>0</v>
      </c>
      <c r="H27" s="110"/>
      <c r="I27" s="6">
        <v>0</v>
      </c>
      <c r="J27" s="73"/>
      <c r="K27" s="14"/>
      <c r="L27" s="22"/>
      <c r="M27" s="7">
        <f>(M28+M26)/2</f>
        <v>315</v>
      </c>
      <c r="N27" s="7"/>
      <c r="O27" s="7"/>
      <c r="P27" s="7"/>
      <c r="Q27" s="54">
        <f>I28*M27</f>
        <v>831.59999999999991</v>
      </c>
      <c r="R27" s="24">
        <f>Q27*I8</f>
        <v>83159.999999999985</v>
      </c>
      <c r="S27" s="25"/>
      <c r="T27" s="14"/>
    </row>
    <row r="28" spans="1:26" ht="15" customHeight="1" x14ac:dyDescent="0.3">
      <c r="A28" s="103"/>
      <c r="B28" s="236"/>
      <c r="C28" s="75" t="s">
        <v>54</v>
      </c>
      <c r="D28" s="75"/>
      <c r="E28" s="113"/>
      <c r="F28" s="113"/>
      <c r="G28" s="113"/>
      <c r="H28" s="61"/>
      <c r="I28" s="55">
        <f>(G26*(I26/2000))+(G27*(I27/2000))</f>
        <v>2.6399999999999997</v>
      </c>
      <c r="J28" s="74"/>
      <c r="K28" s="14"/>
      <c r="L28" s="26"/>
      <c r="M28" s="8">
        <f>X21</f>
        <v>510</v>
      </c>
      <c r="N28" s="8"/>
      <c r="O28" s="8"/>
      <c r="P28" s="8"/>
      <c r="Q28" s="55">
        <f>I28*M28</f>
        <v>1346.3999999999999</v>
      </c>
      <c r="R28" s="27">
        <f>Q28*I8</f>
        <v>134640</v>
      </c>
      <c r="S28" s="28"/>
      <c r="T28" s="14"/>
    </row>
    <row r="29" spans="1:26" ht="9.9" customHeight="1" x14ac:dyDescent="0.3">
      <c r="A29" s="10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6" ht="15" customHeight="1" x14ac:dyDescent="0.3">
      <c r="A30" s="103"/>
      <c r="B30" s="19"/>
      <c r="C30" s="90" t="s">
        <v>45</v>
      </c>
      <c r="D30" s="9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6" ht="15" customHeight="1" x14ac:dyDescent="0.3">
      <c r="A31" s="103"/>
      <c r="B31" s="237"/>
      <c r="C31" s="65" t="s">
        <v>18</v>
      </c>
      <c r="D31" s="65"/>
      <c r="E31" s="114"/>
      <c r="F31" s="114"/>
      <c r="G31" s="114"/>
      <c r="H31" s="114"/>
      <c r="I31" s="9">
        <v>300</v>
      </c>
      <c r="J31" s="115"/>
      <c r="K31" s="14"/>
      <c r="L31" s="29"/>
      <c r="M31" s="114"/>
      <c r="N31" s="114"/>
      <c r="O31" s="114"/>
      <c r="P31" s="114"/>
      <c r="Q31" s="276" t="s">
        <v>8</v>
      </c>
      <c r="R31" s="276"/>
      <c r="S31" s="30"/>
      <c r="T31" s="14"/>
      <c r="V31" s="79" t="s">
        <v>84</v>
      </c>
      <c r="W31" s="207"/>
      <c r="X31" s="207"/>
      <c r="Y31" s="225">
        <f>Y8-I35</f>
        <v>73</v>
      </c>
      <c r="Z31" s="226" t="s">
        <v>86</v>
      </c>
    </row>
    <row r="32" spans="1:26" ht="15" customHeight="1" thickBot="1" x14ac:dyDescent="0.35">
      <c r="A32" s="103"/>
      <c r="B32" s="238"/>
      <c r="C32" s="66" t="s">
        <v>20</v>
      </c>
      <c r="D32" s="66"/>
      <c r="E32" s="116"/>
      <c r="F32" s="116"/>
      <c r="G32" s="116"/>
      <c r="H32" s="116"/>
      <c r="I32" s="10">
        <v>4</v>
      </c>
      <c r="J32" s="117"/>
      <c r="K32" s="14"/>
      <c r="L32" s="31"/>
      <c r="M32" s="118"/>
      <c r="N32" s="118"/>
      <c r="O32" s="118"/>
      <c r="P32" s="118"/>
      <c r="Q32" s="119" t="s">
        <v>13</v>
      </c>
      <c r="R32" s="119" t="s">
        <v>14</v>
      </c>
      <c r="S32" s="34"/>
      <c r="T32" s="14"/>
      <c r="V32" s="80" t="s">
        <v>85</v>
      </c>
      <c r="W32" s="209"/>
      <c r="X32" s="209"/>
      <c r="Y32" s="227">
        <f>R11*(1+I36)</f>
        <v>540</v>
      </c>
      <c r="Z32" s="217" t="s">
        <v>87</v>
      </c>
    </row>
    <row r="33" spans="1:26" ht="15" customHeight="1" x14ac:dyDescent="0.3">
      <c r="A33" s="103"/>
      <c r="B33" s="238"/>
      <c r="C33" s="66" t="s">
        <v>22</v>
      </c>
      <c r="D33" s="66"/>
      <c r="E33" s="116"/>
      <c r="F33" s="116"/>
      <c r="G33" s="116"/>
      <c r="H33" s="116"/>
      <c r="I33" s="10">
        <v>25</v>
      </c>
      <c r="J33" s="117"/>
      <c r="K33" s="14"/>
      <c r="L33" s="31"/>
      <c r="M33" s="32" t="s">
        <v>19</v>
      </c>
      <c r="N33" s="32"/>
      <c r="O33" s="32"/>
      <c r="P33" s="32"/>
      <c r="Q33" s="92">
        <f>R33/$I$8</f>
        <v>48</v>
      </c>
      <c r="R33" s="33">
        <f>I31*I32*Y38</f>
        <v>4800</v>
      </c>
      <c r="S33" s="34"/>
      <c r="T33" s="14"/>
      <c r="V33" s="80" t="s">
        <v>80</v>
      </c>
      <c r="W33" s="209"/>
      <c r="X33" s="209"/>
      <c r="Y33" s="228">
        <f>Y8*R11*R14</f>
        <v>59400</v>
      </c>
      <c r="Z33" s="217"/>
    </row>
    <row r="34" spans="1:26" ht="15" customHeight="1" x14ac:dyDescent="0.3">
      <c r="A34" s="103"/>
      <c r="B34" s="238"/>
      <c r="C34" s="66" t="s">
        <v>110</v>
      </c>
      <c r="D34" s="66"/>
      <c r="E34" s="116"/>
      <c r="F34" s="116"/>
      <c r="G34" s="116"/>
      <c r="H34" s="116"/>
      <c r="I34" s="9">
        <v>120</v>
      </c>
      <c r="J34" s="120"/>
      <c r="K34" s="14"/>
      <c r="L34" s="31"/>
      <c r="M34" s="32" t="s">
        <v>21</v>
      </c>
      <c r="N34" s="32"/>
      <c r="O34" s="32"/>
      <c r="P34" s="32"/>
      <c r="Q34" s="92">
        <f t="shared" ref="Q34:Q38" si="2">R34/$I$8</f>
        <v>36</v>
      </c>
      <c r="R34" s="33">
        <f>I31*I32*Y39</f>
        <v>3600</v>
      </c>
      <c r="S34" s="34"/>
      <c r="T34" s="14"/>
      <c r="V34" s="81" t="s">
        <v>81</v>
      </c>
      <c r="W34" s="211"/>
      <c r="X34" s="211"/>
      <c r="Y34" s="212">
        <f>Y31*Y32*R14</f>
        <v>52034.400000000001</v>
      </c>
      <c r="Z34" s="217"/>
    </row>
    <row r="35" spans="1:26" ht="15" customHeight="1" x14ac:dyDescent="0.3">
      <c r="A35" s="103"/>
      <c r="B35" s="238"/>
      <c r="C35" s="66" t="s">
        <v>112</v>
      </c>
      <c r="D35" s="66"/>
      <c r="E35" s="116"/>
      <c r="F35" s="116"/>
      <c r="G35" s="116"/>
      <c r="H35" s="116"/>
      <c r="I35" s="9">
        <v>2</v>
      </c>
      <c r="J35" s="120"/>
      <c r="K35" s="14"/>
      <c r="L35" s="31"/>
      <c r="M35" s="32" t="s">
        <v>23</v>
      </c>
      <c r="N35" s="32"/>
      <c r="O35" s="32"/>
      <c r="P35" s="32"/>
      <c r="Q35" s="92">
        <f>R35/$I$8</f>
        <v>100</v>
      </c>
      <c r="R35" s="35">
        <f>(I33/30)*I34*I8</f>
        <v>10000</v>
      </c>
      <c r="S35" s="34"/>
      <c r="T35" s="14"/>
      <c r="V35" s="80"/>
      <c r="W35" s="209"/>
      <c r="X35" s="209"/>
      <c r="Y35" s="228">
        <f>Y33-Y34</f>
        <v>7365.5999999999985</v>
      </c>
      <c r="Z35" s="217"/>
    </row>
    <row r="36" spans="1:26" ht="15" customHeight="1" x14ac:dyDescent="0.3">
      <c r="A36" s="103"/>
      <c r="B36" s="238"/>
      <c r="C36" s="66" t="s">
        <v>113</v>
      </c>
      <c r="D36" s="66"/>
      <c r="E36" s="116"/>
      <c r="F36" s="116"/>
      <c r="G36" s="116"/>
      <c r="H36" s="116"/>
      <c r="I36" s="88">
        <v>-0.1</v>
      </c>
      <c r="J36" s="120"/>
      <c r="K36" s="14"/>
      <c r="L36" s="31"/>
      <c r="M36" s="32" t="s">
        <v>24</v>
      </c>
      <c r="N36" s="32"/>
      <c r="O36" s="32"/>
      <c r="P36" s="32"/>
      <c r="Q36" s="92">
        <f>R36/$I$8</f>
        <v>3</v>
      </c>
      <c r="R36" s="35">
        <f>I37</f>
        <v>300</v>
      </c>
      <c r="S36" s="34"/>
      <c r="T36" s="14"/>
      <c r="V36" s="208" t="s">
        <v>27</v>
      </c>
      <c r="W36" s="209"/>
      <c r="X36" s="47"/>
      <c r="Y36" s="48">
        <f>ROUNDUP(40000/(I9+R10),0)</f>
        <v>26</v>
      </c>
      <c r="Z36" s="217"/>
    </row>
    <row r="37" spans="1:26" ht="15" customHeight="1" x14ac:dyDescent="0.3">
      <c r="A37" s="14"/>
      <c r="B37" s="239"/>
      <c r="C37" s="67" t="s">
        <v>46</v>
      </c>
      <c r="D37" s="67"/>
      <c r="E37" s="121"/>
      <c r="F37" s="121"/>
      <c r="G37" s="121"/>
      <c r="H37" s="121"/>
      <c r="I37" s="11">
        <v>300</v>
      </c>
      <c r="J37" s="122"/>
      <c r="K37" s="14"/>
      <c r="L37" s="31"/>
      <c r="M37" s="245" t="s">
        <v>82</v>
      </c>
      <c r="N37" s="240"/>
      <c r="O37" s="240"/>
      <c r="P37" s="240"/>
      <c r="Q37" s="92">
        <f>R37/$I$8</f>
        <v>73.655999999999992</v>
      </c>
      <c r="R37" s="241">
        <f>Y35</f>
        <v>7365.5999999999985</v>
      </c>
      <c r="S37" s="34"/>
      <c r="T37" s="14"/>
      <c r="V37" s="208" t="s">
        <v>28</v>
      </c>
      <c r="W37" s="209"/>
      <c r="X37" s="47"/>
      <c r="Y37" s="48">
        <f>ROUNDUP(40000/I9,0)</f>
        <v>34</v>
      </c>
      <c r="Z37" s="217"/>
    </row>
    <row r="38" spans="1:26" ht="15" customHeight="1" thickBot="1" x14ac:dyDescent="0.35">
      <c r="A38" s="14"/>
      <c r="B38" s="29"/>
      <c r="C38" s="257" t="s">
        <v>121</v>
      </c>
      <c r="D38" s="258"/>
      <c r="E38" s="258"/>
      <c r="F38" s="258"/>
      <c r="G38" s="258"/>
      <c r="H38" s="258"/>
      <c r="I38" s="259">
        <f>X21</f>
        <v>510</v>
      </c>
      <c r="J38" s="30"/>
      <c r="K38" s="14"/>
      <c r="L38" s="31"/>
      <c r="M38" s="36" t="s">
        <v>25</v>
      </c>
      <c r="N38" s="36"/>
      <c r="O38" s="36"/>
      <c r="P38" s="36"/>
      <c r="Q38" s="93">
        <f t="shared" si="2"/>
        <v>4.0516666666666667</v>
      </c>
      <c r="R38" s="37">
        <f>(R33+R34+R35+R36)*((I15/360)*I34)</f>
        <v>405.16666666666669</v>
      </c>
      <c r="S38" s="34"/>
      <c r="T38" s="14"/>
      <c r="V38" s="208" t="s">
        <v>29</v>
      </c>
      <c r="W38" s="209"/>
      <c r="X38" s="47"/>
      <c r="Y38" s="49">
        <f>ROUNDUP(I8/Y36,0)</f>
        <v>4</v>
      </c>
      <c r="Z38" s="217"/>
    </row>
    <row r="39" spans="1:26" ht="15" customHeight="1" thickTop="1" x14ac:dyDescent="0.3">
      <c r="A39" s="14"/>
      <c r="B39" s="38"/>
      <c r="C39" s="260" t="s">
        <v>122</v>
      </c>
      <c r="D39" s="261"/>
      <c r="E39" s="261"/>
      <c r="F39" s="261"/>
      <c r="G39" s="261"/>
      <c r="H39" s="261"/>
      <c r="I39" s="262">
        <f>W21</f>
        <v>17</v>
      </c>
      <c r="J39" s="39"/>
      <c r="K39" s="14"/>
      <c r="L39" s="38"/>
      <c r="M39" s="203" t="s">
        <v>17</v>
      </c>
      <c r="N39" s="203"/>
      <c r="O39" s="203"/>
      <c r="P39" s="203"/>
      <c r="Q39" s="204">
        <f>SUM(Q33:Q38)</f>
        <v>264.70766666666668</v>
      </c>
      <c r="R39" s="205">
        <f>SUM(R33:R38)</f>
        <v>26470.766666666666</v>
      </c>
      <c r="S39" s="39"/>
      <c r="T39" s="14"/>
      <c r="V39" s="210" t="s">
        <v>30</v>
      </c>
      <c r="W39" s="211"/>
      <c r="X39" s="82"/>
      <c r="Y39" s="83">
        <f>ROUNDUP(I8/Y37,0)</f>
        <v>3</v>
      </c>
      <c r="Z39" s="229"/>
    </row>
    <row r="40" spans="1:26" ht="9.9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6" ht="15" customHeight="1" x14ac:dyDescent="0.3">
      <c r="A41" s="14"/>
      <c r="B41" s="14"/>
      <c r="C41" s="90" t="s">
        <v>123</v>
      </c>
      <c r="D41" s="90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6" ht="15" customHeight="1" x14ac:dyDescent="0.3">
      <c r="A42" s="14"/>
      <c r="B42" s="124"/>
      <c r="C42" s="76" t="s">
        <v>128</v>
      </c>
      <c r="D42" s="76"/>
      <c r="E42" s="76"/>
      <c r="F42" s="76"/>
      <c r="G42" s="76"/>
      <c r="H42" s="56"/>
      <c r="I42" s="12">
        <v>100</v>
      </c>
      <c r="J42" s="123"/>
      <c r="K42" s="14"/>
      <c r="L42" s="124"/>
      <c r="M42" s="56"/>
      <c r="N42" s="56"/>
      <c r="O42" s="56"/>
      <c r="P42" s="56"/>
      <c r="Q42" s="277" t="s">
        <v>8</v>
      </c>
      <c r="R42" s="277"/>
      <c r="S42" s="123"/>
      <c r="T42" s="14"/>
      <c r="V42" s="79" t="s">
        <v>91</v>
      </c>
      <c r="W42" s="207"/>
      <c r="X42" s="207"/>
      <c r="Y42" s="214">
        <f>(I8*R9)*R11*R14</f>
        <v>59400</v>
      </c>
    </row>
    <row r="43" spans="1:26" ht="15" customHeight="1" thickBot="1" x14ac:dyDescent="0.35">
      <c r="A43" s="14"/>
      <c r="B43" s="126"/>
      <c r="C43" s="78" t="s">
        <v>127</v>
      </c>
      <c r="D43" s="78"/>
      <c r="E43" s="77"/>
      <c r="F43" s="77"/>
      <c r="G43" s="77"/>
      <c r="H43" s="57"/>
      <c r="I43" s="12">
        <v>5000</v>
      </c>
      <c r="J43" s="125"/>
      <c r="K43" s="14"/>
      <c r="L43" s="126"/>
      <c r="M43" s="127"/>
      <c r="N43" s="127"/>
      <c r="O43" s="127"/>
      <c r="P43" s="127"/>
      <c r="Q43" s="128" t="s">
        <v>13</v>
      </c>
      <c r="R43" s="128" t="s">
        <v>14</v>
      </c>
      <c r="S43" s="125"/>
      <c r="T43" s="14"/>
      <c r="V43" s="81" t="s">
        <v>81</v>
      </c>
      <c r="W43" s="211"/>
      <c r="X43" s="211"/>
      <c r="Y43" s="215">
        <f>(I8*R8)*R10*R13</f>
        <v>51112.5</v>
      </c>
    </row>
    <row r="44" spans="1:26" ht="15" customHeight="1" x14ac:dyDescent="0.3">
      <c r="A44" s="14"/>
      <c r="B44" s="126"/>
      <c r="C44" s="78" t="s">
        <v>126</v>
      </c>
      <c r="D44" s="78"/>
      <c r="E44" s="77"/>
      <c r="F44" s="77"/>
      <c r="G44" s="77"/>
      <c r="H44" s="57"/>
      <c r="I44" s="12">
        <v>5000</v>
      </c>
      <c r="J44" s="125"/>
      <c r="K44" s="14"/>
      <c r="L44" s="40"/>
      <c r="M44" s="41" t="s">
        <v>34</v>
      </c>
      <c r="N44" s="41"/>
      <c r="O44" s="41"/>
      <c r="P44" s="41"/>
      <c r="Q44" s="44">
        <f>R44/I8</f>
        <v>82.875</v>
      </c>
      <c r="R44" s="246">
        <f>Y44</f>
        <v>8287.5</v>
      </c>
      <c r="S44" s="43"/>
      <c r="T44" s="14"/>
      <c r="V44" s="80"/>
      <c r="W44" s="209"/>
      <c r="X44" s="209"/>
      <c r="Y44" s="216">
        <f>Y42-Y43</f>
        <v>8287.5</v>
      </c>
    </row>
    <row r="45" spans="1:26" ht="15" customHeight="1" x14ac:dyDescent="0.3">
      <c r="A45" s="14"/>
      <c r="B45" s="126"/>
      <c r="C45" s="44" t="s">
        <v>96</v>
      </c>
      <c r="D45" s="44"/>
      <c r="E45" s="57"/>
      <c r="F45" s="57"/>
      <c r="G45" s="57"/>
      <c r="H45" s="57"/>
      <c r="I45" s="12">
        <v>20</v>
      </c>
      <c r="J45" s="125"/>
      <c r="K45" s="14"/>
      <c r="L45" s="126"/>
      <c r="M45" s="41" t="s">
        <v>95</v>
      </c>
      <c r="N45" s="41"/>
      <c r="O45" s="41"/>
      <c r="P45" s="41"/>
      <c r="Q45" s="44">
        <f>R45/I8</f>
        <v>100</v>
      </c>
      <c r="R45" s="42">
        <f>(I42*I8)</f>
        <v>10000</v>
      </c>
      <c r="S45" s="125"/>
      <c r="T45" s="14"/>
      <c r="V45" s="80"/>
      <c r="W45" s="209"/>
      <c r="X45" s="209"/>
      <c r="Y45" s="217"/>
    </row>
    <row r="46" spans="1:26" ht="15" customHeight="1" x14ac:dyDescent="0.3">
      <c r="A46" s="14"/>
      <c r="B46" s="202"/>
      <c r="C46" s="68" t="s">
        <v>47</v>
      </c>
      <c r="D46" s="68"/>
      <c r="E46" s="58"/>
      <c r="F46" s="58"/>
      <c r="G46" s="58"/>
      <c r="H46" s="58"/>
      <c r="I46" s="12">
        <v>1000</v>
      </c>
      <c r="J46" s="129"/>
      <c r="K46" s="14"/>
      <c r="L46" s="126"/>
      <c r="M46" s="41" t="s">
        <v>97</v>
      </c>
      <c r="N46" s="41"/>
      <c r="O46" s="41"/>
      <c r="P46" s="41"/>
      <c r="Q46" s="44">
        <f>R46/I8</f>
        <v>20</v>
      </c>
      <c r="R46" s="42">
        <f>I45*I8</f>
        <v>2000</v>
      </c>
      <c r="S46" s="125"/>
      <c r="T46" s="14"/>
      <c r="V46" s="80" t="s">
        <v>93</v>
      </c>
      <c r="W46" s="209"/>
      <c r="X46" s="209"/>
      <c r="Y46" s="216">
        <f>(I8*R9)*R11*R15</f>
        <v>56250</v>
      </c>
    </row>
    <row r="47" spans="1:26" ht="15" customHeight="1" thickBot="1" x14ac:dyDescent="0.35">
      <c r="A47" s="14"/>
      <c r="B47" s="124"/>
      <c r="C47" s="266" t="s">
        <v>116</v>
      </c>
      <c r="D47" s="266"/>
      <c r="E47" s="266"/>
      <c r="F47" s="266"/>
      <c r="G47" s="266"/>
      <c r="H47" s="266"/>
      <c r="I47" s="266"/>
      <c r="J47" s="123"/>
      <c r="K47" s="14"/>
      <c r="L47" s="126"/>
      <c r="M47" s="247" t="s">
        <v>115</v>
      </c>
      <c r="N47" s="247"/>
      <c r="O47" s="247"/>
      <c r="P47" s="247"/>
      <c r="Q47" s="45">
        <f>R47/I8</f>
        <v>-3.541666666666667</v>
      </c>
      <c r="R47" s="46">
        <f>-(Y48*X16*(I16/360))</f>
        <v>-354.16666666666669</v>
      </c>
      <c r="S47" s="125"/>
      <c r="T47" s="14"/>
      <c r="V47" s="80" t="s">
        <v>94</v>
      </c>
      <c r="W47" s="209"/>
      <c r="X47" s="209"/>
      <c r="Y47" s="216">
        <f>(I8*R9)*R11*R16</f>
        <v>54000</v>
      </c>
    </row>
    <row r="48" spans="1:26" ht="15" customHeight="1" thickTop="1" x14ac:dyDescent="0.3">
      <c r="A48" s="14"/>
      <c r="B48" s="126"/>
      <c r="C48" s="267"/>
      <c r="D48" s="267"/>
      <c r="E48" s="267"/>
      <c r="F48" s="267"/>
      <c r="G48" s="267"/>
      <c r="H48" s="267"/>
      <c r="I48" s="267"/>
      <c r="J48" s="125"/>
      <c r="K48" s="14"/>
      <c r="L48" s="126"/>
      <c r="M48" s="248" t="s">
        <v>99</v>
      </c>
      <c r="N48" s="248"/>
      <c r="O48" s="248"/>
      <c r="P48" s="248"/>
      <c r="Q48" s="249">
        <f>SUM(Q44:Q47)</f>
        <v>199.33333333333334</v>
      </c>
      <c r="R48" s="250">
        <f>SUM(R44:R47)</f>
        <v>19933.333333333332</v>
      </c>
      <c r="S48" s="125"/>
      <c r="T48" s="14"/>
      <c r="V48" s="80" t="s">
        <v>98</v>
      </c>
      <c r="W48" s="209"/>
      <c r="X48" s="209"/>
      <c r="Y48" s="216">
        <f>I8*I10</f>
        <v>85000</v>
      </c>
    </row>
    <row r="49" spans="1:25" ht="15" customHeight="1" x14ac:dyDescent="0.3">
      <c r="A49" s="14"/>
      <c r="B49" s="126"/>
      <c r="C49" s="267"/>
      <c r="D49" s="267"/>
      <c r="E49" s="267"/>
      <c r="F49" s="267"/>
      <c r="G49" s="267"/>
      <c r="H49" s="267"/>
      <c r="I49" s="267"/>
      <c r="J49" s="125"/>
      <c r="K49" s="14"/>
      <c r="L49" s="126"/>
      <c r="M49" s="41" t="s">
        <v>26</v>
      </c>
      <c r="N49" s="41"/>
      <c r="O49" s="41"/>
      <c r="P49" s="41"/>
      <c r="Q49" s="44">
        <f>R49/I8</f>
        <v>-722.5</v>
      </c>
      <c r="R49" s="42">
        <f>-((I8-I11)*I10)</f>
        <v>-72250</v>
      </c>
      <c r="S49" s="125"/>
      <c r="T49" s="14"/>
      <c r="V49" s="80"/>
      <c r="W49" s="209"/>
      <c r="X49" s="209"/>
      <c r="Y49" s="217"/>
    </row>
    <row r="50" spans="1:25" ht="15" customHeight="1" x14ac:dyDescent="0.3">
      <c r="A50" s="14"/>
      <c r="B50" s="126"/>
      <c r="C50" s="267"/>
      <c r="D50" s="267"/>
      <c r="E50" s="267"/>
      <c r="F50" s="267"/>
      <c r="G50" s="267"/>
      <c r="H50" s="267"/>
      <c r="I50" s="267"/>
      <c r="J50" s="125"/>
      <c r="K50" s="14"/>
      <c r="L50" s="126"/>
      <c r="M50" s="41" t="s">
        <v>108</v>
      </c>
      <c r="N50" s="41"/>
      <c r="O50" s="41"/>
      <c r="P50" s="41"/>
      <c r="Q50" s="44">
        <f>R50/I8</f>
        <v>-25.013574218750001</v>
      </c>
      <c r="R50" s="42">
        <f>-(Y51+Y52+Y53)</f>
        <v>-2501.357421875</v>
      </c>
      <c r="S50" s="125"/>
      <c r="T50" s="14"/>
      <c r="V50" s="218" t="s">
        <v>100</v>
      </c>
      <c r="W50" s="219"/>
      <c r="X50" s="209"/>
      <c r="Y50" s="220">
        <f>Y48</f>
        <v>85000</v>
      </c>
    </row>
    <row r="51" spans="1:25" ht="15" customHeight="1" x14ac:dyDescent="0.3">
      <c r="A51" s="14"/>
      <c r="B51" s="202"/>
      <c r="C51" s="268"/>
      <c r="D51" s="268"/>
      <c r="E51" s="268"/>
      <c r="F51" s="268"/>
      <c r="G51" s="268"/>
      <c r="H51" s="268"/>
      <c r="I51" s="268"/>
      <c r="J51" s="129"/>
      <c r="K51" s="14"/>
      <c r="L51" s="126"/>
      <c r="M51" s="41" t="s">
        <v>107</v>
      </c>
      <c r="N51" s="41"/>
      <c r="O51" s="41"/>
      <c r="P51" s="41"/>
      <c r="Q51" s="44">
        <f>R51/I8</f>
        <v>1102.5</v>
      </c>
      <c r="R51" s="42">
        <f>Y46+Y47</f>
        <v>110250</v>
      </c>
      <c r="S51" s="125"/>
      <c r="T51" s="14"/>
      <c r="V51" s="221" t="s">
        <v>101</v>
      </c>
      <c r="W51" s="222"/>
      <c r="X51" s="209"/>
      <c r="Y51" s="220">
        <f>Y50*X16*(I16/360)</f>
        <v>354.16666666666669</v>
      </c>
    </row>
    <row r="52" spans="1:25" ht="15" customHeight="1" x14ac:dyDescent="0.3">
      <c r="A52" s="14"/>
      <c r="B52" s="14"/>
      <c r="C52" s="254"/>
      <c r="D52" s="254"/>
      <c r="E52" s="254"/>
      <c r="F52" s="254"/>
      <c r="G52" s="254"/>
      <c r="H52" s="254"/>
      <c r="I52" s="254"/>
      <c r="J52" s="14"/>
      <c r="K52" s="14"/>
      <c r="L52" s="126"/>
      <c r="M52" s="41" t="s">
        <v>106</v>
      </c>
      <c r="N52" s="41"/>
      <c r="O52" s="41"/>
      <c r="P52" s="41"/>
      <c r="Q52" s="44">
        <f>R52/I8</f>
        <v>-900</v>
      </c>
      <c r="R52" s="42">
        <f>-((2*(I8*I12))-(I43+I44))</f>
        <v>-90000</v>
      </c>
      <c r="S52" s="125"/>
      <c r="T52" s="14"/>
      <c r="V52" s="221" t="s">
        <v>102</v>
      </c>
      <c r="W52" s="209"/>
      <c r="X52" s="209"/>
      <c r="Y52" s="220">
        <f>(Y50+Y51)*I16</f>
        <v>1066.9270833333335</v>
      </c>
    </row>
    <row r="53" spans="1:25" ht="15" customHeight="1" thickBot="1" x14ac:dyDescent="0.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26"/>
      <c r="M53" s="247" t="s">
        <v>104</v>
      </c>
      <c r="N53" s="247"/>
      <c r="O53" s="247"/>
      <c r="P53" s="247"/>
      <c r="Q53" s="45">
        <f>R53/I8</f>
        <v>1000</v>
      </c>
      <c r="R53" s="46">
        <f>I46*I8</f>
        <v>100000</v>
      </c>
      <c r="S53" s="125"/>
      <c r="T53" s="14"/>
      <c r="V53" s="223" t="s">
        <v>103</v>
      </c>
      <c r="W53" s="211"/>
      <c r="X53" s="211"/>
      <c r="Y53" s="224">
        <f>(Y50+Y51+Y52)*I16</f>
        <v>1080.263671875</v>
      </c>
    </row>
    <row r="54" spans="1:25" ht="15" customHeight="1" thickTop="1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26"/>
      <c r="M54" s="41" t="s">
        <v>105</v>
      </c>
      <c r="N54" s="41"/>
      <c r="O54" s="41"/>
      <c r="P54" s="41"/>
      <c r="Q54" s="44">
        <f>SUM(Q49:Q53)</f>
        <v>454.98642578124998</v>
      </c>
      <c r="R54" s="42">
        <f>SUM(R49:R53)</f>
        <v>45498.642578125</v>
      </c>
      <c r="S54" s="125"/>
      <c r="T54" s="14"/>
    </row>
    <row r="55" spans="1:25" ht="15" customHeight="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202"/>
      <c r="M55" s="251" t="s">
        <v>109</v>
      </c>
      <c r="N55" s="251"/>
      <c r="O55" s="251"/>
      <c r="P55" s="251"/>
      <c r="Q55" s="252">
        <f>Q48+Q54</f>
        <v>654.31975911458335</v>
      </c>
      <c r="R55" s="253">
        <f>R48+R54</f>
        <v>65431.975911458328</v>
      </c>
      <c r="S55" s="129"/>
      <c r="T55" s="14"/>
    </row>
    <row r="56" spans="1:25" ht="15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4"/>
    </row>
    <row r="57" spans="1:25" ht="15" customHeight="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72" t="s">
        <v>35</v>
      </c>
      <c r="Q57" s="272"/>
      <c r="R57" s="272"/>
      <c r="S57" s="14"/>
      <c r="T57" s="14"/>
    </row>
    <row r="58" spans="1:25" ht="15" customHeight="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278" t="s">
        <v>61</v>
      </c>
      <c r="M58" s="278"/>
      <c r="N58" s="193" t="s">
        <v>36</v>
      </c>
      <c r="O58" s="193" t="s">
        <v>38</v>
      </c>
      <c r="P58" s="130"/>
      <c r="Q58" s="191" t="s">
        <v>74</v>
      </c>
      <c r="R58" s="191" t="s">
        <v>75</v>
      </c>
      <c r="S58" s="14"/>
      <c r="T58" s="14"/>
    </row>
    <row r="59" spans="1:25" ht="15" customHeight="1" thickBot="1" x14ac:dyDescent="0.3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273" t="s">
        <v>62</v>
      </c>
      <c r="L59" s="274"/>
      <c r="M59" s="274"/>
      <c r="N59" s="192" t="s">
        <v>37</v>
      </c>
      <c r="O59" s="192" t="s">
        <v>39</v>
      </c>
      <c r="P59" s="131"/>
      <c r="Q59" s="189">
        <v>41639</v>
      </c>
      <c r="R59" s="192" t="s">
        <v>74</v>
      </c>
      <c r="S59" s="14"/>
      <c r="T59" s="14"/>
    </row>
    <row r="60" spans="1:25" ht="15" thickBot="1" x14ac:dyDescent="0.3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31"/>
      <c r="L60" s="14"/>
      <c r="M60" s="103"/>
      <c r="N60" s="103"/>
      <c r="O60" s="103"/>
      <c r="P60" s="14"/>
      <c r="Q60" s="103"/>
      <c r="R60" s="103"/>
      <c r="S60" s="14"/>
      <c r="T60" s="14"/>
    </row>
    <row r="61" spans="1:25" ht="15" thickBot="1" x14ac:dyDescent="0.35">
      <c r="A61" s="14"/>
      <c r="B61" s="14"/>
      <c r="C61" s="19"/>
      <c r="D61" s="132"/>
      <c r="E61" s="133" t="s">
        <v>42</v>
      </c>
      <c r="F61" s="134"/>
      <c r="G61" s="134"/>
      <c r="H61" s="134"/>
      <c r="I61" s="134"/>
      <c r="J61" s="134"/>
      <c r="K61" s="135"/>
      <c r="L61" s="19"/>
      <c r="M61" s="136"/>
      <c r="N61" s="137"/>
      <c r="O61" s="137"/>
      <c r="P61" s="19"/>
      <c r="Q61" s="137"/>
      <c r="R61" s="137"/>
      <c r="S61" s="19"/>
      <c r="T61" s="14"/>
    </row>
    <row r="62" spans="1:25" ht="14.4" x14ac:dyDescent="0.3">
      <c r="A62" s="14"/>
      <c r="B62" s="14"/>
      <c r="C62" s="19"/>
      <c r="D62" s="138"/>
      <c r="E62" s="139" t="s">
        <v>1</v>
      </c>
      <c r="F62" s="140"/>
      <c r="G62" s="140"/>
      <c r="H62" s="140"/>
      <c r="I62" s="140"/>
      <c r="J62" s="140"/>
      <c r="K62" s="140"/>
      <c r="L62" s="134"/>
      <c r="M62" s="141">
        <f>$I$8*$I$10</f>
        <v>85000</v>
      </c>
      <c r="N62" s="141">
        <f>$I$8*$I$10</f>
        <v>85000</v>
      </c>
      <c r="O62" s="141">
        <f t="shared" ref="O62:R62" si="3">$I$8*$I$10</f>
        <v>85000</v>
      </c>
      <c r="P62" s="134"/>
      <c r="Q62" s="141">
        <f t="shared" si="3"/>
        <v>85000</v>
      </c>
      <c r="R62" s="141">
        <f t="shared" si="3"/>
        <v>85000</v>
      </c>
      <c r="S62" s="135"/>
      <c r="T62" s="19"/>
    </row>
    <row r="63" spans="1:25" ht="14.4" x14ac:dyDescent="0.3">
      <c r="A63" s="14"/>
      <c r="B63" s="14"/>
      <c r="C63" s="19"/>
      <c r="D63" s="138"/>
      <c r="E63" s="139" t="s">
        <v>3</v>
      </c>
      <c r="F63" s="140"/>
      <c r="G63" s="140"/>
      <c r="H63" s="140"/>
      <c r="I63" s="140"/>
      <c r="J63" s="140"/>
      <c r="K63" s="140"/>
      <c r="L63" s="140"/>
      <c r="M63" s="142">
        <f t="shared" ref="M63:R63" si="4">$R$9*$R$10*$R$13</f>
        <v>407.8125</v>
      </c>
      <c r="N63" s="142">
        <f t="shared" si="4"/>
        <v>407.8125</v>
      </c>
      <c r="O63" s="142">
        <f t="shared" si="4"/>
        <v>407.8125</v>
      </c>
      <c r="P63" s="142">
        <f t="shared" si="4"/>
        <v>407.8125</v>
      </c>
      <c r="Q63" s="142">
        <f t="shared" si="4"/>
        <v>407.8125</v>
      </c>
      <c r="R63" s="142">
        <f t="shared" si="4"/>
        <v>407.8125</v>
      </c>
      <c r="S63" s="143"/>
      <c r="T63" s="19"/>
    </row>
    <row r="64" spans="1:25" ht="14.4" x14ac:dyDescent="0.3">
      <c r="A64" s="14"/>
      <c r="B64" s="14"/>
      <c r="C64" s="19"/>
      <c r="D64" s="138"/>
      <c r="E64" s="139" t="s">
        <v>55</v>
      </c>
      <c r="F64" s="140"/>
      <c r="G64" s="140"/>
      <c r="H64" s="140"/>
      <c r="I64" s="140"/>
      <c r="J64" s="140"/>
      <c r="K64" s="140"/>
      <c r="L64" s="140"/>
      <c r="M64" s="142">
        <f>-(($I$8*$I$12)-($I$8*$I$42))</f>
        <v>-40000</v>
      </c>
      <c r="N64" s="142">
        <f>-(($I$8*$I$12)-($I$8*$I$42))</f>
        <v>-40000</v>
      </c>
      <c r="O64" s="142">
        <f>-(($I$8*$I$12)-($I$8*$I$42))</f>
        <v>-40000</v>
      </c>
      <c r="P64" s="140"/>
      <c r="Q64" s="142">
        <f>-(($I$8*$I$12)-($I$8*$I$42))</f>
        <v>-40000</v>
      </c>
      <c r="R64" s="142">
        <f>-(($I$8*$I$12)-($I$8*$I$42))</f>
        <v>-40000</v>
      </c>
      <c r="S64" s="143"/>
      <c r="T64" s="19"/>
    </row>
    <row r="65" spans="1:20" ht="15" thickBot="1" x14ac:dyDescent="0.35">
      <c r="A65" s="14"/>
      <c r="B65" s="14"/>
      <c r="C65" s="106"/>
      <c r="D65" s="144"/>
      <c r="E65" s="145" t="s">
        <v>17</v>
      </c>
      <c r="F65" s="99"/>
      <c r="G65" s="99"/>
      <c r="H65" s="99"/>
      <c r="I65" s="146"/>
      <c r="J65" s="146"/>
      <c r="K65" s="146"/>
      <c r="L65" s="146"/>
      <c r="M65" s="147">
        <f>SUM(M62:M64)</f>
        <v>45407.8125</v>
      </c>
      <c r="N65" s="147">
        <f>SUM(N62:N64)</f>
        <v>45407.8125</v>
      </c>
      <c r="O65" s="147">
        <f>SUM(O62:O64)</f>
        <v>45407.8125</v>
      </c>
      <c r="P65" s="146"/>
      <c r="Q65" s="147">
        <f>SUM(Q62:Q64)</f>
        <v>45407.8125</v>
      </c>
      <c r="R65" s="147">
        <f>SUM(R62:R64)</f>
        <v>45407.8125</v>
      </c>
      <c r="S65" s="148"/>
      <c r="T65" s="19"/>
    </row>
    <row r="66" spans="1:20" ht="9.9" customHeight="1" x14ac:dyDescent="0.3">
      <c r="A66" s="14"/>
      <c r="B66" s="14"/>
      <c r="C66" s="19"/>
      <c r="D66" s="19"/>
      <c r="E66" s="103"/>
      <c r="F66" s="14"/>
      <c r="G66" s="14"/>
      <c r="H66" s="14"/>
      <c r="I66" s="14"/>
      <c r="J66" s="14"/>
      <c r="K66" s="14"/>
      <c r="L66" s="14"/>
      <c r="M66" s="103"/>
      <c r="N66" s="103"/>
      <c r="O66" s="103"/>
      <c r="P66" s="14"/>
      <c r="Q66" s="103"/>
      <c r="R66" s="103"/>
      <c r="S66" s="19"/>
      <c r="T66" s="19"/>
    </row>
    <row r="67" spans="1:20" ht="14.4" x14ac:dyDescent="0.3">
      <c r="A67" s="14"/>
      <c r="B67" s="14"/>
      <c r="C67" s="19"/>
      <c r="D67" s="19"/>
      <c r="E67" s="196">
        <f>I21</f>
        <v>2011</v>
      </c>
      <c r="F67" s="14"/>
      <c r="G67" s="14"/>
      <c r="H67" s="14"/>
      <c r="I67" s="14"/>
      <c r="J67" s="14"/>
      <c r="K67" s="14"/>
      <c r="L67" s="14"/>
      <c r="M67" s="149"/>
      <c r="N67" s="103"/>
      <c r="O67" s="103"/>
      <c r="P67" s="14"/>
      <c r="Q67" s="103"/>
      <c r="R67" s="103"/>
      <c r="S67" s="19"/>
      <c r="T67" s="19"/>
    </row>
    <row r="68" spans="1:20" ht="14.4" x14ac:dyDescent="0.3">
      <c r="A68" s="14"/>
      <c r="B68" s="14"/>
      <c r="C68" s="19"/>
      <c r="D68" s="19"/>
      <c r="E68" s="18" t="s">
        <v>56</v>
      </c>
      <c r="F68" s="14"/>
      <c r="G68" s="14"/>
      <c r="H68" s="14"/>
      <c r="I68" s="14"/>
      <c r="J68" s="14"/>
      <c r="K68" s="14"/>
      <c r="L68" s="14"/>
      <c r="M68" s="150">
        <f>($I$8*$R$9)*$R$11*$R$14</f>
        <v>59400</v>
      </c>
      <c r="N68" s="151">
        <f>($I$8*$R$9)*$R$11*$R$14</f>
        <v>59400</v>
      </c>
      <c r="O68" s="151">
        <f>IF(E67&lt;$R$19,(($I$8*$R$9)-$I$35)*($R$11*(1+$I$36))*$R$14,($I$8*$R$9)*$R$11*$R$14)</f>
        <v>52034.400000000001</v>
      </c>
      <c r="P68" s="14"/>
      <c r="Q68" s="151">
        <f>Y43</f>
        <v>51112.5</v>
      </c>
      <c r="R68" s="151">
        <f>Y43</f>
        <v>51112.5</v>
      </c>
      <c r="S68" s="19"/>
      <c r="T68" s="19"/>
    </row>
    <row r="69" spans="1:20" ht="14.4" x14ac:dyDescent="0.3">
      <c r="A69" s="14"/>
      <c r="B69" s="14"/>
      <c r="C69" s="19"/>
      <c r="D69" s="19"/>
      <c r="E69" s="152" t="s">
        <v>60</v>
      </c>
      <c r="F69" s="153"/>
      <c r="G69" s="153"/>
      <c r="H69" s="153"/>
      <c r="I69" s="153"/>
      <c r="J69" s="153"/>
      <c r="K69" s="153"/>
      <c r="L69" s="153"/>
      <c r="M69" s="154">
        <f>-I12*I8</f>
        <v>-50000</v>
      </c>
      <c r="N69" s="155">
        <f>-((I8*I12)+(X16*I28*I8))</f>
        <v>-81680</v>
      </c>
      <c r="O69" s="155">
        <f>-((I8*I12)+R39)</f>
        <v>-76470.766666666663</v>
      </c>
      <c r="P69" s="153"/>
      <c r="Q69" s="155">
        <f>-(I8*(I12-I42))</f>
        <v>-40000</v>
      </c>
      <c r="R69" s="155">
        <f>-(I8*(I12-I42))</f>
        <v>-40000</v>
      </c>
      <c r="S69" s="19"/>
      <c r="T69" s="19"/>
    </row>
    <row r="70" spans="1:20" ht="14.4" x14ac:dyDescent="0.3">
      <c r="A70" s="14"/>
      <c r="B70" s="14"/>
      <c r="C70" s="19"/>
      <c r="D70" s="19"/>
      <c r="E70" s="18" t="s">
        <v>57</v>
      </c>
      <c r="F70" s="14"/>
      <c r="G70" s="14"/>
      <c r="H70" s="14"/>
      <c r="I70" s="14"/>
      <c r="J70" s="14"/>
      <c r="K70" s="14"/>
      <c r="L70" s="14"/>
      <c r="M70" s="151">
        <f>SUM(M68:M69)</f>
        <v>9400</v>
      </c>
      <c r="N70" s="151">
        <f>SUM(N68:N69)</f>
        <v>-22280</v>
      </c>
      <c r="O70" s="151">
        <f>SUM(O68:O69)</f>
        <v>-24436.366666666661</v>
      </c>
      <c r="P70" s="14"/>
      <c r="Q70" s="151">
        <f>SUM(Q68:Q69)</f>
        <v>11112.5</v>
      </c>
      <c r="R70" s="151">
        <f>SUM(R68:R69)</f>
        <v>11112.5</v>
      </c>
      <c r="S70" s="19"/>
      <c r="T70" s="19"/>
    </row>
    <row r="71" spans="1:20" ht="14.4" x14ac:dyDescent="0.3">
      <c r="A71" s="14"/>
      <c r="B71" s="14"/>
      <c r="C71" s="19"/>
      <c r="D71" s="19"/>
      <c r="E71" s="152" t="s">
        <v>40</v>
      </c>
      <c r="F71" s="153"/>
      <c r="G71" s="153"/>
      <c r="H71" s="153"/>
      <c r="I71" s="153"/>
      <c r="J71" s="153"/>
      <c r="K71" s="153"/>
      <c r="L71" s="153"/>
      <c r="M71" s="156">
        <f>IF(M70&gt;0,M70*(0.124+0.15+0.04),0)</f>
        <v>2951.6</v>
      </c>
      <c r="N71" s="156">
        <f>IF(N70&gt;0,N70*(0.124+0.15+0.04),0)</f>
        <v>0</v>
      </c>
      <c r="O71" s="156">
        <f>IF(O70&gt;0,O70*(0.124+0.15+0.04),0)</f>
        <v>0</v>
      </c>
      <c r="P71" s="153"/>
      <c r="Q71" s="156">
        <f>IF(Q70&gt;0,Q70*(0.124+0.15+0.04),0)</f>
        <v>3489.3249999999998</v>
      </c>
      <c r="R71" s="156">
        <f>IF(R70&gt;0,R70*(0.124+0.15+0.04),0)</f>
        <v>3489.3249999999998</v>
      </c>
      <c r="S71" s="19"/>
      <c r="T71" s="19"/>
    </row>
    <row r="72" spans="1:20" ht="14.4" x14ac:dyDescent="0.3">
      <c r="A72" s="14"/>
      <c r="B72" s="14"/>
      <c r="C72" s="19"/>
      <c r="D72" s="19"/>
      <c r="E72" s="157" t="s">
        <v>41</v>
      </c>
      <c r="F72" s="14"/>
      <c r="G72" s="14"/>
      <c r="H72" s="14"/>
      <c r="I72" s="14"/>
      <c r="J72" s="14"/>
      <c r="K72" s="14"/>
      <c r="L72" s="14"/>
      <c r="M72" s="158">
        <f>M70-M71</f>
        <v>6448.4</v>
      </c>
      <c r="N72" s="158">
        <f t="shared" ref="N72:O72" si="5">N70-N71</f>
        <v>-22280</v>
      </c>
      <c r="O72" s="158">
        <f t="shared" si="5"/>
        <v>-24436.366666666661</v>
      </c>
      <c r="P72" s="14"/>
      <c r="Q72" s="158">
        <f>Q70-Q71</f>
        <v>7623.1750000000002</v>
      </c>
      <c r="R72" s="158">
        <f>R70-R71</f>
        <v>7623.1750000000002</v>
      </c>
      <c r="S72" s="19"/>
      <c r="T72" s="19"/>
    </row>
    <row r="73" spans="1:20" ht="14.4" x14ac:dyDescent="0.3">
      <c r="A73" s="14"/>
      <c r="B73" s="14"/>
      <c r="C73" s="19"/>
      <c r="D73" s="19"/>
      <c r="E73" s="159" t="s">
        <v>58</v>
      </c>
      <c r="F73" s="14"/>
      <c r="G73" s="14"/>
      <c r="H73" s="14"/>
      <c r="I73" s="14"/>
      <c r="J73" s="14"/>
      <c r="K73" s="14"/>
      <c r="L73" s="14"/>
      <c r="M73" s="160">
        <v>0</v>
      </c>
      <c r="N73" s="161">
        <v>0</v>
      </c>
      <c r="O73" s="161">
        <v>0</v>
      </c>
      <c r="P73" s="14"/>
      <c r="Q73" s="161">
        <f>I8*I10</f>
        <v>85000</v>
      </c>
      <c r="R73" s="161">
        <f>I8*I10</f>
        <v>85000</v>
      </c>
      <c r="S73" s="19"/>
      <c r="T73" s="19"/>
    </row>
    <row r="74" spans="1:20" ht="15" thickBot="1" x14ac:dyDescent="0.35">
      <c r="A74" s="14"/>
      <c r="B74" s="14"/>
      <c r="C74" s="19"/>
      <c r="D74" s="19"/>
      <c r="E74" s="162" t="s">
        <v>44</v>
      </c>
      <c r="F74" s="14"/>
      <c r="G74" s="14"/>
      <c r="H74" s="14"/>
      <c r="I74" s="14"/>
      <c r="J74" s="14"/>
      <c r="K74" s="14"/>
      <c r="L74" s="14"/>
      <c r="M74" s="160">
        <v>0</v>
      </c>
      <c r="N74" s="161">
        <v>0</v>
      </c>
      <c r="O74" s="51">
        <v>0</v>
      </c>
      <c r="P74" s="14"/>
      <c r="Q74" s="161">
        <v>0</v>
      </c>
      <c r="R74" s="161">
        <f>(I8*(I10-I17))*0.15</f>
        <v>12750</v>
      </c>
      <c r="S74" s="19"/>
      <c r="T74" s="19"/>
    </row>
    <row r="75" spans="1:20" ht="15" thickBot="1" x14ac:dyDescent="0.35">
      <c r="A75" s="14"/>
      <c r="B75" s="14"/>
      <c r="C75" s="19"/>
      <c r="D75" s="132"/>
      <c r="E75" s="133" t="s">
        <v>77</v>
      </c>
      <c r="F75" s="134"/>
      <c r="G75" s="134"/>
      <c r="H75" s="134"/>
      <c r="I75" s="134"/>
      <c r="J75" s="134"/>
      <c r="K75" s="135"/>
      <c r="L75" s="19"/>
      <c r="M75" s="163"/>
      <c r="N75" s="164"/>
      <c r="O75" s="106"/>
      <c r="P75" s="19"/>
      <c r="Q75" s="164"/>
      <c r="R75" s="164"/>
      <c r="S75" s="19"/>
      <c r="T75" s="19"/>
    </row>
    <row r="76" spans="1:20" ht="14.4" x14ac:dyDescent="0.3">
      <c r="A76" s="14"/>
      <c r="B76" s="14"/>
      <c r="C76" s="19"/>
      <c r="D76" s="138"/>
      <c r="E76" s="165" t="s">
        <v>1</v>
      </c>
      <c r="F76" s="140"/>
      <c r="G76" s="140"/>
      <c r="H76" s="140"/>
      <c r="I76" s="140"/>
      <c r="J76" s="140"/>
      <c r="K76" s="140"/>
      <c r="L76" s="134"/>
      <c r="M76" s="141">
        <f>M62-M73</f>
        <v>85000</v>
      </c>
      <c r="N76" s="141">
        <f>N62-N73</f>
        <v>85000</v>
      </c>
      <c r="O76" s="141">
        <f>O62-O73</f>
        <v>85000</v>
      </c>
      <c r="P76" s="134"/>
      <c r="Q76" s="141">
        <f>Q62-Q73</f>
        <v>0</v>
      </c>
      <c r="R76" s="141">
        <f>R62-R73</f>
        <v>0</v>
      </c>
      <c r="S76" s="135"/>
      <c r="T76" s="19"/>
    </row>
    <row r="77" spans="1:20" ht="14.4" x14ac:dyDescent="0.3">
      <c r="A77" s="14"/>
      <c r="B77" s="14"/>
      <c r="C77" s="19"/>
      <c r="D77" s="138"/>
      <c r="E77" s="166" t="s">
        <v>55</v>
      </c>
      <c r="F77" s="140"/>
      <c r="G77" s="140"/>
      <c r="H77" s="140"/>
      <c r="I77" s="140"/>
      <c r="J77" s="140"/>
      <c r="K77" s="140"/>
      <c r="L77" s="140"/>
      <c r="M77" s="142">
        <f>M72+M73-M74</f>
        <v>6448.4</v>
      </c>
      <c r="N77" s="142">
        <f>N72+N73-N74</f>
        <v>-22280</v>
      </c>
      <c r="O77" s="142">
        <f>O72+O73-O74</f>
        <v>-24436.366666666661</v>
      </c>
      <c r="P77" s="140"/>
      <c r="Q77" s="142">
        <f>Q72+Q73-Q74</f>
        <v>92623.175000000003</v>
      </c>
      <c r="R77" s="142">
        <f>R72+R73-R74</f>
        <v>79873.175000000003</v>
      </c>
      <c r="S77" s="143"/>
      <c r="T77" s="19"/>
    </row>
    <row r="78" spans="1:20" ht="15" thickBot="1" x14ac:dyDescent="0.35">
      <c r="A78" s="14"/>
      <c r="B78" s="14"/>
      <c r="C78" s="19"/>
      <c r="D78" s="167"/>
      <c r="E78" s="145" t="s">
        <v>17</v>
      </c>
      <c r="F78" s="146"/>
      <c r="G78" s="146"/>
      <c r="H78" s="146"/>
      <c r="I78" s="146"/>
      <c r="J78" s="146"/>
      <c r="K78" s="146"/>
      <c r="L78" s="146"/>
      <c r="M78" s="147">
        <f>SUM(M76:M77)</f>
        <v>91448.4</v>
      </c>
      <c r="N78" s="147">
        <f>SUM(N76:N77)</f>
        <v>62720</v>
      </c>
      <c r="O78" s="147">
        <f t="shared" ref="O78" si="6">SUM(O76:O77)</f>
        <v>60563.633333333339</v>
      </c>
      <c r="P78" s="146"/>
      <c r="Q78" s="147">
        <f>SUM(Q76:Q77)</f>
        <v>92623.175000000003</v>
      </c>
      <c r="R78" s="147">
        <f>SUM(R76:R77)</f>
        <v>79873.175000000003</v>
      </c>
      <c r="S78" s="148"/>
      <c r="T78" s="19"/>
    </row>
    <row r="79" spans="1:20" ht="9.9" customHeight="1" x14ac:dyDescent="0.3">
      <c r="A79" s="14"/>
      <c r="B79" s="14"/>
      <c r="C79" s="19"/>
      <c r="D79" s="19"/>
      <c r="E79" s="103"/>
      <c r="F79" s="14"/>
      <c r="G79" s="14"/>
      <c r="H79" s="14"/>
      <c r="I79" s="14"/>
      <c r="J79" s="14"/>
      <c r="K79" s="14"/>
      <c r="L79" s="14"/>
      <c r="M79" s="103"/>
      <c r="N79" s="103"/>
      <c r="O79" s="103"/>
      <c r="P79" s="14"/>
      <c r="Q79" s="103"/>
      <c r="R79" s="103"/>
      <c r="S79" s="19"/>
      <c r="T79" s="19"/>
    </row>
    <row r="80" spans="1:20" ht="14.4" x14ac:dyDescent="0.3">
      <c r="A80" s="14"/>
      <c r="B80" s="14"/>
      <c r="C80" s="19"/>
      <c r="D80" s="19"/>
      <c r="E80" s="196">
        <f>E67+1</f>
        <v>2012</v>
      </c>
      <c r="F80" s="14"/>
      <c r="G80" s="14"/>
      <c r="H80" s="14"/>
      <c r="I80" s="14"/>
      <c r="J80" s="14"/>
      <c r="K80" s="14"/>
      <c r="L80" s="14"/>
      <c r="M80" s="103"/>
      <c r="N80" s="103"/>
      <c r="O80" s="103"/>
      <c r="P80" s="14"/>
      <c r="Q80" s="103"/>
      <c r="R80" s="103"/>
      <c r="S80" s="19"/>
      <c r="T80" s="19"/>
    </row>
    <row r="81" spans="1:26" ht="14.4" x14ac:dyDescent="0.3">
      <c r="A81" s="14"/>
      <c r="B81" s="14"/>
      <c r="C81" s="19"/>
      <c r="D81" s="19"/>
      <c r="E81" s="159" t="s">
        <v>56</v>
      </c>
      <c r="F81" s="14"/>
      <c r="G81" s="14"/>
      <c r="H81" s="14"/>
      <c r="I81" s="14"/>
      <c r="J81" s="14"/>
      <c r="K81" s="14"/>
      <c r="L81" s="14"/>
      <c r="M81" s="151">
        <f>($I$8*$R$9)*$R$11*$R$15</f>
        <v>56250</v>
      </c>
      <c r="N81" s="151">
        <f>($I$8*$R$9)*$R$11*$R$15</f>
        <v>56250</v>
      </c>
      <c r="O81" s="151">
        <f>IF(E80&lt;$R$19,(($I$8*$R$9)-$I$35)*($R$11*(1+$I$36))*$R$15,($I$8*$R$9)*$R$11*$R$15)</f>
        <v>49275</v>
      </c>
      <c r="P81" s="14"/>
      <c r="Q81" s="151">
        <f>IF(E80&gt;$R$19,($E$8*$R$9)*$R$11*$R$15,0)</f>
        <v>0</v>
      </c>
      <c r="R81" s="151">
        <v>0</v>
      </c>
      <c r="S81" s="19"/>
      <c r="T81" s="19"/>
    </row>
    <row r="82" spans="1:26" ht="14.4" x14ac:dyDescent="0.3">
      <c r="A82" s="14"/>
      <c r="B82" s="14"/>
      <c r="C82" s="19"/>
      <c r="D82" s="19"/>
      <c r="E82" s="18" t="s">
        <v>67</v>
      </c>
      <c r="F82" s="14"/>
      <c r="G82" s="14"/>
      <c r="H82" s="14"/>
      <c r="I82" s="14"/>
      <c r="J82" s="14"/>
      <c r="K82" s="14"/>
      <c r="L82" s="14"/>
      <c r="M82" s="151">
        <f>-($I$8*$I$12)</f>
        <v>-50000</v>
      </c>
      <c r="N82" s="197">
        <f>IF($X17&gt;0,-(($I$8*$I$12)+($X$17*$I$28*$I$8)),-($I$8*$I$12))</f>
        <v>-145040</v>
      </c>
      <c r="O82" s="197">
        <f>-(IF($X$17&gt;0,(($I$8*$I$12)+($W$17*$I$33*$I$8)),($I$8*$I$12)))</f>
        <v>-80000</v>
      </c>
      <c r="P82" s="14"/>
      <c r="Q82" s="151">
        <f>IF(Q81=0,-$I$43,-$I$8*$I$12)</f>
        <v>-5000</v>
      </c>
      <c r="R82" s="151">
        <f>-$I$43</f>
        <v>-5000</v>
      </c>
      <c r="S82" s="19"/>
      <c r="T82" s="19"/>
      <c r="V82" s="265" t="s">
        <v>111</v>
      </c>
      <c r="W82" s="265"/>
      <c r="X82" s="265"/>
      <c r="Y82" s="265"/>
      <c r="Z82" s="265"/>
    </row>
    <row r="83" spans="1:26" ht="14.4" x14ac:dyDescent="0.3">
      <c r="A83" s="14"/>
      <c r="B83" s="14"/>
      <c r="C83" s="19"/>
      <c r="D83" s="19"/>
      <c r="E83" s="152" t="s">
        <v>71</v>
      </c>
      <c r="F83" s="153"/>
      <c r="G83" s="153"/>
      <c r="H83" s="153"/>
      <c r="I83" s="153"/>
      <c r="J83" s="153"/>
      <c r="K83" s="153"/>
      <c r="L83" s="153"/>
      <c r="M83" s="155">
        <f>IF(M77&gt;0,M77*$I$16,M77*$I$15)</f>
        <v>80.605000000000004</v>
      </c>
      <c r="N83" s="155">
        <f>IF(N77&gt;0,N77*$I$16,N77*$I$15)</f>
        <v>-1448.2</v>
      </c>
      <c r="O83" s="155">
        <f>IF(O77&gt;0,O77*$I$16,O77*$I$15)</f>
        <v>-1588.3638333333331</v>
      </c>
      <c r="P83" s="153"/>
      <c r="Q83" s="155">
        <f>IF(Q77&gt;0,Q77*$I$16,Q77*$I$15)</f>
        <v>1157.7896875000001</v>
      </c>
      <c r="R83" s="155">
        <f>IF(R77&gt;0,R77*$I$16,R77*$I$15)</f>
        <v>998.41468750000013</v>
      </c>
      <c r="S83" s="19"/>
      <c r="T83" s="19"/>
      <c r="V83" s="265"/>
      <c r="W83" s="265"/>
      <c r="X83" s="265"/>
      <c r="Y83" s="265"/>
      <c r="Z83" s="265"/>
    </row>
    <row r="84" spans="1:26" ht="14.4" x14ac:dyDescent="0.3">
      <c r="A84" s="14"/>
      <c r="B84" s="14"/>
      <c r="C84" s="19"/>
      <c r="D84" s="19"/>
      <c r="E84" s="18" t="s">
        <v>57</v>
      </c>
      <c r="F84" s="14"/>
      <c r="G84" s="14"/>
      <c r="H84" s="14"/>
      <c r="I84" s="14"/>
      <c r="J84" s="14"/>
      <c r="K84" s="14"/>
      <c r="L84" s="14"/>
      <c r="M84" s="151">
        <f>SUM(M81:M83)</f>
        <v>6330.6049999999996</v>
      </c>
      <c r="N84" s="151">
        <f t="shared" ref="N84:O84" si="7">SUM(N81:N83)</f>
        <v>-90238.2</v>
      </c>
      <c r="O84" s="151">
        <f t="shared" si="7"/>
        <v>-32313.363833333333</v>
      </c>
      <c r="P84" s="14"/>
      <c r="Q84" s="151">
        <f>SUM(Q81:Q83)</f>
        <v>-3842.2103124999999</v>
      </c>
      <c r="R84" s="151">
        <f>SUM(R81:R83)</f>
        <v>-4001.5853124999999</v>
      </c>
      <c r="S84" s="19"/>
      <c r="T84" s="19"/>
    </row>
    <row r="85" spans="1:26" ht="14.4" x14ac:dyDescent="0.3">
      <c r="A85" s="14"/>
      <c r="B85" s="14"/>
      <c r="C85" s="19"/>
      <c r="D85" s="19"/>
      <c r="E85" s="152" t="s">
        <v>40</v>
      </c>
      <c r="F85" s="153"/>
      <c r="G85" s="153"/>
      <c r="H85" s="153"/>
      <c r="I85" s="153"/>
      <c r="J85" s="153"/>
      <c r="K85" s="153"/>
      <c r="L85" s="153"/>
      <c r="M85" s="156">
        <f>IF(M84&gt;0,M84*(0.124+0.15+0.04),0)</f>
        <v>1987.8099699999998</v>
      </c>
      <c r="N85" s="156">
        <f>IF(N84&gt;0,N84*(0.124+0.15+0.04),0)</f>
        <v>0</v>
      </c>
      <c r="O85" s="156">
        <f>IF(O84&gt;0,O84*(0.124+0.15+0.04),0)</f>
        <v>0</v>
      </c>
      <c r="P85" s="153"/>
      <c r="Q85" s="156">
        <f>IF(Q84&gt;0,Q84*(0.124+0.15+0.04),0)</f>
        <v>0</v>
      </c>
      <c r="R85" s="156">
        <f>IF(R84&gt;0,R84*(0.124+0.15+0.04),0)</f>
        <v>0</v>
      </c>
      <c r="S85" s="19"/>
      <c r="T85" s="19"/>
    </row>
    <row r="86" spans="1:26" ht="14.4" x14ac:dyDescent="0.3">
      <c r="A86" s="14"/>
      <c r="B86" s="14"/>
      <c r="C86" s="19"/>
      <c r="D86" s="19"/>
      <c r="E86" s="157" t="s">
        <v>41</v>
      </c>
      <c r="F86" s="14"/>
      <c r="G86" s="14"/>
      <c r="H86" s="14"/>
      <c r="I86" s="14"/>
      <c r="J86" s="14"/>
      <c r="K86" s="14"/>
      <c r="L86" s="14"/>
      <c r="M86" s="158">
        <f>M84-M85</f>
        <v>4342.7950299999993</v>
      </c>
      <c r="N86" s="158">
        <f t="shared" ref="N86:O86" si="8">N84-N85</f>
        <v>-90238.2</v>
      </c>
      <c r="O86" s="168">
        <f t="shared" si="8"/>
        <v>-32313.363833333333</v>
      </c>
      <c r="P86" s="14"/>
      <c r="Q86" s="158">
        <f>Q84-Q85</f>
        <v>-3842.2103124999999</v>
      </c>
      <c r="R86" s="158">
        <f>R84-R85</f>
        <v>-4001.5853124999999</v>
      </c>
      <c r="S86" s="19"/>
      <c r="T86" s="19"/>
    </row>
    <row r="87" spans="1:26" ht="15" thickBot="1" x14ac:dyDescent="0.35">
      <c r="A87" s="14"/>
      <c r="B87" s="14"/>
      <c r="C87" s="19"/>
      <c r="D87" s="19"/>
      <c r="E87" s="157" t="s">
        <v>68</v>
      </c>
      <c r="F87" s="14"/>
      <c r="G87" s="14"/>
      <c r="H87" s="14"/>
      <c r="I87" s="14"/>
      <c r="J87" s="14"/>
      <c r="K87" s="14"/>
      <c r="L87" s="14"/>
      <c r="M87" s="151">
        <v>0</v>
      </c>
      <c r="N87" s="151">
        <v>0</v>
      </c>
      <c r="O87" s="151">
        <v>0</v>
      </c>
      <c r="P87" s="14"/>
      <c r="Q87" s="151">
        <f>IF(E80=$R$19,$I$8*$I$46,0)</f>
        <v>0</v>
      </c>
      <c r="R87" s="151">
        <v>0</v>
      </c>
      <c r="S87" s="19"/>
      <c r="T87" s="19"/>
    </row>
    <row r="88" spans="1:26" ht="15" thickBot="1" x14ac:dyDescent="0.35">
      <c r="A88" s="14"/>
      <c r="B88" s="14"/>
      <c r="C88" s="19"/>
      <c r="D88" s="132"/>
      <c r="E88" s="133" t="s">
        <v>77</v>
      </c>
      <c r="F88" s="134"/>
      <c r="G88" s="134"/>
      <c r="H88" s="134"/>
      <c r="I88" s="134"/>
      <c r="J88" s="134"/>
      <c r="K88" s="134"/>
      <c r="L88" s="169"/>
      <c r="M88" s="163"/>
      <c r="N88" s="164"/>
      <c r="O88" s="106"/>
      <c r="P88" s="19"/>
      <c r="Q88" s="164"/>
      <c r="R88" s="164"/>
      <c r="S88" s="131"/>
      <c r="T88" s="19"/>
    </row>
    <row r="89" spans="1:26" ht="14.4" x14ac:dyDescent="0.3">
      <c r="A89" s="14"/>
      <c r="B89" s="14"/>
      <c r="C89" s="19"/>
      <c r="D89" s="138"/>
      <c r="E89" s="165" t="s">
        <v>1</v>
      </c>
      <c r="F89" s="140"/>
      <c r="G89" s="140"/>
      <c r="H89" s="140"/>
      <c r="I89" s="140"/>
      <c r="J89" s="140"/>
      <c r="K89" s="140"/>
      <c r="L89" s="134"/>
      <c r="M89" s="170">
        <f>M76+M87</f>
        <v>85000</v>
      </c>
      <c r="N89" s="170">
        <f t="shared" ref="N89:R89" si="9">N76+N87</f>
        <v>85000</v>
      </c>
      <c r="O89" s="170">
        <f t="shared" si="9"/>
        <v>85000</v>
      </c>
      <c r="P89" s="170">
        <f t="shared" si="9"/>
        <v>0</v>
      </c>
      <c r="Q89" s="170">
        <f t="shared" si="9"/>
        <v>0</v>
      </c>
      <c r="R89" s="170">
        <f t="shared" si="9"/>
        <v>0</v>
      </c>
      <c r="S89" s="143"/>
      <c r="T89" s="19"/>
    </row>
    <row r="90" spans="1:26" ht="14.4" x14ac:dyDescent="0.3">
      <c r="A90" s="14"/>
      <c r="B90" s="14"/>
      <c r="C90" s="19"/>
      <c r="D90" s="138"/>
      <c r="E90" s="166" t="s">
        <v>55</v>
      </c>
      <c r="F90" s="140"/>
      <c r="G90" s="140"/>
      <c r="H90" s="140"/>
      <c r="I90" s="140"/>
      <c r="J90" s="140"/>
      <c r="K90" s="140"/>
      <c r="L90" s="140"/>
      <c r="M90" s="171">
        <f>M77+M86</f>
        <v>10791.195029999999</v>
      </c>
      <c r="N90" s="171">
        <f t="shared" ref="N90:O90" si="10">N77+N86</f>
        <v>-112518.2</v>
      </c>
      <c r="O90" s="171">
        <f t="shared" si="10"/>
        <v>-56749.730499999991</v>
      </c>
      <c r="P90" s="140"/>
      <c r="Q90" s="171">
        <f>Q77+Q86</f>
        <v>88780.964687500003</v>
      </c>
      <c r="R90" s="171">
        <f>R77+R86</f>
        <v>75871.589687500003</v>
      </c>
      <c r="S90" s="143"/>
      <c r="T90" s="19"/>
    </row>
    <row r="91" spans="1:26" ht="15" thickBot="1" x14ac:dyDescent="0.35">
      <c r="A91" s="14"/>
      <c r="B91" s="14"/>
      <c r="C91" s="19"/>
      <c r="D91" s="167"/>
      <c r="E91" s="145" t="s">
        <v>17</v>
      </c>
      <c r="F91" s="146"/>
      <c r="G91" s="146"/>
      <c r="H91" s="146"/>
      <c r="I91" s="146"/>
      <c r="J91" s="146"/>
      <c r="K91" s="146"/>
      <c r="L91" s="146"/>
      <c r="M91" s="172">
        <f>SUM(M89:M90)</f>
        <v>95791.195030000003</v>
      </c>
      <c r="N91" s="172">
        <f t="shared" ref="N91:O91" si="11">SUM(N89:N90)</f>
        <v>-27518.199999999997</v>
      </c>
      <c r="O91" s="172">
        <f t="shared" si="11"/>
        <v>28250.269500000009</v>
      </c>
      <c r="P91" s="146"/>
      <c r="Q91" s="172">
        <f>SUM(Q89:Q90)</f>
        <v>88780.964687500003</v>
      </c>
      <c r="R91" s="172">
        <f>SUM(R89:R90)</f>
        <v>75871.589687500003</v>
      </c>
      <c r="S91" s="148"/>
      <c r="T91" s="19"/>
    </row>
    <row r="92" spans="1:26" ht="9.9" customHeight="1" x14ac:dyDescent="0.3">
      <c r="A92" s="14"/>
      <c r="B92" s="14"/>
      <c r="C92" s="19"/>
      <c r="D92" s="19"/>
      <c r="E92" s="173"/>
      <c r="F92" s="14"/>
      <c r="G92" s="14"/>
      <c r="H92" s="14"/>
      <c r="I92" s="14"/>
      <c r="J92" s="14"/>
      <c r="K92" s="14"/>
      <c r="L92" s="14"/>
      <c r="M92" s="158"/>
      <c r="N92" s="51"/>
      <c r="O92" s="51"/>
      <c r="P92" s="14"/>
      <c r="Q92" s="51"/>
      <c r="R92" s="51"/>
      <c r="S92" s="19"/>
      <c r="T92" s="19"/>
    </row>
    <row r="93" spans="1:26" ht="14.4" x14ac:dyDescent="0.3">
      <c r="A93" s="14"/>
      <c r="B93" s="14"/>
      <c r="C93" s="19"/>
      <c r="D93" s="19"/>
      <c r="E93" s="196">
        <f>E80+1</f>
        <v>2013</v>
      </c>
      <c r="F93" s="14"/>
      <c r="G93" s="14"/>
      <c r="H93" s="14"/>
      <c r="I93" s="14"/>
      <c r="J93" s="14"/>
      <c r="K93" s="14"/>
      <c r="L93" s="14"/>
      <c r="M93" s="158"/>
      <c r="N93" s="51"/>
      <c r="O93" s="51"/>
      <c r="P93" s="14"/>
      <c r="Q93" s="51"/>
      <c r="R93" s="51"/>
      <c r="S93" s="19"/>
      <c r="T93" s="19"/>
    </row>
    <row r="94" spans="1:26" ht="14.4" x14ac:dyDescent="0.3">
      <c r="A94" s="14"/>
      <c r="B94" s="14"/>
      <c r="C94" s="19"/>
      <c r="D94" s="19"/>
      <c r="E94" s="159" t="s">
        <v>56</v>
      </c>
      <c r="F94" s="14"/>
      <c r="G94" s="14"/>
      <c r="H94" s="14"/>
      <c r="I94" s="14"/>
      <c r="J94" s="14"/>
      <c r="K94" s="14"/>
      <c r="L94" s="14"/>
      <c r="M94" s="151">
        <f>($I$8*$R$9)*$R$11*$R$16</f>
        <v>54000</v>
      </c>
      <c r="N94" s="151">
        <f>($I$8*$R$9)*$R$11*$R$16</f>
        <v>54000</v>
      </c>
      <c r="O94" s="151">
        <f>IF(E93&lt;$R$19,(($I$8*$R$9)-$I$35)*($R$11*(1+$I$36))*$R$16,($I$8*$R$9)*$R$11*$R$16)</f>
        <v>54000</v>
      </c>
      <c r="P94" s="14"/>
      <c r="Q94" s="151">
        <f>IF(E93&gt;$R$19,($I$8*$R$9)*$R$11*$R$16,0)</f>
        <v>0</v>
      </c>
      <c r="R94" s="151">
        <v>0</v>
      </c>
      <c r="S94" s="19"/>
      <c r="T94" s="19"/>
    </row>
    <row r="95" spans="1:26" ht="14.4" x14ac:dyDescent="0.3">
      <c r="A95" s="14"/>
      <c r="B95" s="14"/>
      <c r="C95" s="19"/>
      <c r="D95" s="19"/>
      <c r="E95" s="18" t="s">
        <v>67</v>
      </c>
      <c r="F95" s="14"/>
      <c r="G95" s="14"/>
      <c r="H95" s="14"/>
      <c r="I95" s="14"/>
      <c r="J95" s="14"/>
      <c r="K95" s="14"/>
      <c r="L95" s="14"/>
      <c r="M95" s="151">
        <f>-($I$8*$I$12)</f>
        <v>-50000</v>
      </c>
      <c r="N95" s="197">
        <f>IF($X18&gt;0,-(($I$8*$I$12)+($X$18*$I$28*$I$8)),-($I$8*$I$12))</f>
        <v>-57920</v>
      </c>
      <c r="O95" s="197">
        <f>-(IF($X$18&gt;0,(($I$8*$I$12)+($W$18*$I$33*$I$8)),($I$8*$I$12)))</f>
        <v>-52500</v>
      </c>
      <c r="P95" s="14"/>
      <c r="Q95" s="151">
        <f>IF(Q94=0,-$I$43,-$I$8*$I$12)</f>
        <v>-5000</v>
      </c>
      <c r="R95" s="151">
        <f>-$I$43</f>
        <v>-5000</v>
      </c>
      <c r="S95" s="19"/>
      <c r="T95" s="19"/>
    </row>
    <row r="96" spans="1:26" ht="14.4" x14ac:dyDescent="0.3">
      <c r="A96" s="14"/>
      <c r="B96" s="14"/>
      <c r="C96" s="19"/>
      <c r="D96" s="19"/>
      <c r="E96" s="152" t="s">
        <v>71</v>
      </c>
      <c r="F96" s="153"/>
      <c r="G96" s="153"/>
      <c r="H96" s="153"/>
      <c r="I96" s="153"/>
      <c r="J96" s="153"/>
      <c r="K96" s="153"/>
      <c r="L96" s="153"/>
      <c r="M96" s="155">
        <f>IF(M90&gt;0,M90*$I$16,M90*$I$15)</f>
        <v>134.88993787499999</v>
      </c>
      <c r="N96" s="155">
        <f>IF(N90&gt;0,N90*$I$16,N90*$I$15)</f>
        <v>-7313.683</v>
      </c>
      <c r="O96" s="155">
        <f>IF(O90&gt;0,O90*$I$16,O90*$I$15)</f>
        <v>-3688.7324824999996</v>
      </c>
      <c r="P96" s="153"/>
      <c r="Q96" s="155">
        <f>IF(Q90&gt;0,Q90*$I$16,Q90*$I$15)</f>
        <v>1109.76205859375</v>
      </c>
      <c r="R96" s="155">
        <f>IF(R90&gt;0,R90*$I$16,R90*$I$15)</f>
        <v>948.39487109375011</v>
      </c>
      <c r="S96" s="19"/>
      <c r="T96" s="19"/>
    </row>
    <row r="97" spans="1:20" ht="14.4" x14ac:dyDescent="0.3">
      <c r="A97" s="14"/>
      <c r="B97" s="14"/>
      <c r="C97" s="19"/>
      <c r="D97" s="19"/>
      <c r="E97" s="18" t="s">
        <v>57</v>
      </c>
      <c r="F97" s="14"/>
      <c r="G97" s="14"/>
      <c r="H97" s="14"/>
      <c r="I97" s="14"/>
      <c r="J97" s="14"/>
      <c r="K97" s="14"/>
      <c r="L97" s="14"/>
      <c r="M97" s="151">
        <f>SUM(M94:M96)</f>
        <v>4134.8899378750002</v>
      </c>
      <c r="N97" s="151">
        <f t="shared" ref="N97:O97" si="12">SUM(N94:N96)</f>
        <v>-11233.683000000001</v>
      </c>
      <c r="O97" s="151">
        <f t="shared" si="12"/>
        <v>-2188.7324824999996</v>
      </c>
      <c r="P97" s="14"/>
      <c r="Q97" s="151">
        <f>SUM(Q94:Q96)</f>
        <v>-3890.2379414062498</v>
      </c>
      <c r="R97" s="151">
        <f>SUM(R94:R96)</f>
        <v>-4051.6051289062498</v>
      </c>
      <c r="S97" s="19"/>
      <c r="T97" s="19"/>
    </row>
    <row r="98" spans="1:20" ht="14.4" x14ac:dyDescent="0.3">
      <c r="A98" s="14"/>
      <c r="B98" s="14"/>
      <c r="C98" s="19"/>
      <c r="D98" s="19"/>
      <c r="E98" s="152" t="s">
        <v>40</v>
      </c>
      <c r="F98" s="153"/>
      <c r="G98" s="153"/>
      <c r="H98" s="153"/>
      <c r="I98" s="153"/>
      <c r="J98" s="153"/>
      <c r="K98" s="153"/>
      <c r="L98" s="153"/>
      <c r="M98" s="156">
        <f>IF(M97&gt;0,M97*(0.124+0.15+0.04),0)</f>
        <v>1298.3554404927502</v>
      </c>
      <c r="N98" s="156">
        <f>IF(N97&gt;0,N97*(0.124+0.15+0.04),0)</f>
        <v>0</v>
      </c>
      <c r="O98" s="156">
        <f>IF(O97&gt;0,O97*(0.124+0.15+0.04),0)</f>
        <v>0</v>
      </c>
      <c r="P98" s="153"/>
      <c r="Q98" s="156">
        <f>IF(Q97&gt;0,Q97*(0.124+0.15+0.04),0)</f>
        <v>0</v>
      </c>
      <c r="R98" s="156">
        <f>IF(R97&gt;0,R97*(0.124+0.15+0.04),0)</f>
        <v>0</v>
      </c>
      <c r="S98" s="19"/>
      <c r="T98" s="19"/>
    </row>
    <row r="99" spans="1:20" ht="14.4" x14ac:dyDescent="0.3">
      <c r="A99" s="14"/>
      <c r="B99" s="14"/>
      <c r="C99" s="19"/>
      <c r="D99" s="19"/>
      <c r="E99" s="157" t="s">
        <v>41</v>
      </c>
      <c r="F99" s="14"/>
      <c r="G99" s="14"/>
      <c r="H99" s="14"/>
      <c r="I99" s="14"/>
      <c r="J99" s="14"/>
      <c r="K99" s="14"/>
      <c r="L99" s="14"/>
      <c r="M99" s="158">
        <f>M97-M98</f>
        <v>2836.5344973822503</v>
      </c>
      <c r="N99" s="158">
        <f t="shared" ref="N99:O99" si="13">N97-N98</f>
        <v>-11233.683000000001</v>
      </c>
      <c r="O99" s="158">
        <f t="shared" si="13"/>
        <v>-2188.7324824999996</v>
      </c>
      <c r="P99" s="14"/>
      <c r="Q99" s="158">
        <f>Q97-Q98</f>
        <v>-3890.2379414062498</v>
      </c>
      <c r="R99" s="158">
        <f>R97-R98</f>
        <v>-4051.6051289062498</v>
      </c>
      <c r="S99" s="19"/>
      <c r="T99" s="19"/>
    </row>
    <row r="100" spans="1:20" ht="15" thickBot="1" x14ac:dyDescent="0.35">
      <c r="A100" s="14"/>
      <c r="B100" s="14"/>
      <c r="C100" s="19"/>
      <c r="D100" s="19"/>
      <c r="E100" s="157" t="s">
        <v>68</v>
      </c>
      <c r="F100" s="14"/>
      <c r="G100" s="14"/>
      <c r="H100" s="14"/>
      <c r="I100" s="14"/>
      <c r="J100" s="14"/>
      <c r="K100" s="14"/>
      <c r="L100" s="14"/>
      <c r="M100" s="151">
        <v>0</v>
      </c>
      <c r="N100" s="151">
        <v>0</v>
      </c>
      <c r="O100" s="151">
        <v>0</v>
      </c>
      <c r="P100" s="14"/>
      <c r="Q100" s="151">
        <f>IF(E93=$R$19,$I$8*$I$46,0)</f>
        <v>100000</v>
      </c>
      <c r="R100" s="151">
        <v>0</v>
      </c>
      <c r="S100" s="19"/>
      <c r="T100" s="19"/>
    </row>
    <row r="101" spans="1:20" ht="15" thickBot="1" x14ac:dyDescent="0.35">
      <c r="A101" s="14"/>
      <c r="B101" s="14"/>
      <c r="C101" s="19"/>
      <c r="D101" s="132"/>
      <c r="E101" s="133" t="s">
        <v>77</v>
      </c>
      <c r="F101" s="134"/>
      <c r="G101" s="134"/>
      <c r="H101" s="134"/>
      <c r="I101" s="134"/>
      <c r="J101" s="134"/>
      <c r="K101" s="135"/>
      <c r="L101" s="19"/>
      <c r="M101" s="163"/>
      <c r="N101" s="164"/>
      <c r="O101" s="164"/>
      <c r="P101" s="19"/>
      <c r="Q101" s="164"/>
      <c r="R101" s="164"/>
      <c r="S101" s="19"/>
      <c r="T101" s="19"/>
    </row>
    <row r="102" spans="1:20" ht="14.4" x14ac:dyDescent="0.3">
      <c r="A102" s="14"/>
      <c r="B102" s="14"/>
      <c r="C102" s="19"/>
      <c r="D102" s="138"/>
      <c r="E102" s="165" t="s">
        <v>1</v>
      </c>
      <c r="F102" s="140"/>
      <c r="G102" s="140"/>
      <c r="H102" s="140"/>
      <c r="I102" s="140"/>
      <c r="J102" s="140"/>
      <c r="K102" s="140"/>
      <c r="L102" s="134"/>
      <c r="M102" s="170">
        <f>M89+M100</f>
        <v>85000</v>
      </c>
      <c r="N102" s="141">
        <f>N89+N100</f>
        <v>85000</v>
      </c>
      <c r="O102" s="141">
        <f t="shared" ref="O102" si="14">O89+O100</f>
        <v>85000</v>
      </c>
      <c r="P102" s="134"/>
      <c r="Q102" s="141">
        <f>Q89+Q100</f>
        <v>100000</v>
      </c>
      <c r="R102" s="141">
        <f>R89+R100</f>
        <v>0</v>
      </c>
      <c r="S102" s="135"/>
      <c r="T102" s="19"/>
    </row>
    <row r="103" spans="1:20" ht="14.4" x14ac:dyDescent="0.3">
      <c r="A103" s="14"/>
      <c r="B103" s="14"/>
      <c r="C103" s="19"/>
      <c r="D103" s="138"/>
      <c r="E103" s="166" t="s">
        <v>55</v>
      </c>
      <c r="F103" s="140"/>
      <c r="G103" s="140"/>
      <c r="H103" s="140"/>
      <c r="I103" s="140"/>
      <c r="J103" s="140"/>
      <c r="K103" s="140"/>
      <c r="L103" s="140"/>
      <c r="M103" s="171">
        <f>M90+M99-M100</f>
        <v>13627.729527382249</v>
      </c>
      <c r="N103" s="171">
        <f t="shared" ref="N103:O103" si="15">N90+N99-N100</f>
        <v>-123751.883</v>
      </c>
      <c r="O103" s="171">
        <f t="shared" si="15"/>
        <v>-58938.462982499987</v>
      </c>
      <c r="P103" s="140"/>
      <c r="Q103" s="171">
        <f>Q90+Q99-Q100</f>
        <v>-15109.273253906242</v>
      </c>
      <c r="R103" s="171">
        <f>R90+R99-R100</f>
        <v>71819.984558593758</v>
      </c>
      <c r="S103" s="143"/>
      <c r="T103" s="19"/>
    </row>
    <row r="104" spans="1:20" ht="15" thickBot="1" x14ac:dyDescent="0.35">
      <c r="A104" s="14"/>
      <c r="B104" s="14"/>
      <c r="C104" s="19"/>
      <c r="D104" s="167"/>
      <c r="E104" s="145" t="s">
        <v>17</v>
      </c>
      <c r="F104" s="146"/>
      <c r="G104" s="146"/>
      <c r="H104" s="146"/>
      <c r="I104" s="146"/>
      <c r="J104" s="146"/>
      <c r="K104" s="146"/>
      <c r="L104" s="146"/>
      <c r="M104" s="172">
        <f>SUM(M102:M103)</f>
        <v>98627.729527382253</v>
      </c>
      <c r="N104" s="172">
        <f t="shared" ref="N104:O104" si="16">SUM(N102:N103)</f>
        <v>-38751.883000000002</v>
      </c>
      <c r="O104" s="172">
        <f t="shared" si="16"/>
        <v>26061.537017500013</v>
      </c>
      <c r="P104" s="146"/>
      <c r="Q104" s="172">
        <f>SUM(Q102:Q103)</f>
        <v>84890.726746093758</v>
      </c>
      <c r="R104" s="172">
        <f>SUM(R102:R103)</f>
        <v>71819.984558593758</v>
      </c>
      <c r="S104" s="148"/>
      <c r="T104" s="19"/>
    </row>
    <row r="105" spans="1:20" ht="9.9" customHeight="1" x14ac:dyDescent="0.3">
      <c r="A105" s="14"/>
      <c r="B105" s="14"/>
      <c r="C105" s="19"/>
      <c r="D105" s="19"/>
      <c r="E105" s="103"/>
      <c r="F105" s="14"/>
      <c r="G105" s="14"/>
      <c r="H105" s="14"/>
      <c r="I105" s="14"/>
      <c r="J105" s="14"/>
      <c r="K105" s="14"/>
      <c r="L105" s="14"/>
      <c r="M105" s="103"/>
      <c r="N105" s="103"/>
      <c r="O105" s="103"/>
      <c r="P105" s="14"/>
      <c r="Q105" s="103"/>
      <c r="R105" s="103"/>
      <c r="S105" s="19"/>
      <c r="T105" s="19"/>
    </row>
    <row r="106" spans="1:20" ht="15" customHeight="1" x14ac:dyDescent="0.3">
      <c r="A106" s="14"/>
      <c r="B106" s="14"/>
      <c r="C106" s="19"/>
      <c r="D106" s="19"/>
      <c r="E106" s="196">
        <f>E93+1</f>
        <v>2014</v>
      </c>
      <c r="F106" s="14"/>
      <c r="G106" s="263"/>
      <c r="H106" s="14"/>
      <c r="I106" s="14"/>
      <c r="J106" s="14"/>
      <c r="K106" s="14"/>
      <c r="L106" s="14"/>
      <c r="M106" s="158"/>
      <c r="N106" s="51"/>
      <c r="O106" s="51"/>
      <c r="P106" s="14"/>
      <c r="Q106" s="51"/>
      <c r="R106" s="51"/>
      <c r="S106" s="19"/>
      <c r="T106" s="19"/>
    </row>
    <row r="107" spans="1:20" ht="15" customHeight="1" x14ac:dyDescent="0.3">
      <c r="A107" s="14"/>
      <c r="B107" s="14"/>
      <c r="C107" s="19"/>
      <c r="D107" s="19"/>
      <c r="E107" s="159" t="s">
        <v>56</v>
      </c>
      <c r="F107" s="14"/>
      <c r="G107" s="14"/>
      <c r="H107" s="14"/>
      <c r="I107" s="14"/>
      <c r="J107" s="14"/>
      <c r="K107" s="14"/>
      <c r="L107" s="14"/>
      <c r="M107" s="151">
        <f>($I$8*$R$9)*$R$11*$R$16</f>
        <v>54000</v>
      </c>
      <c r="N107" s="151">
        <f>($I$8*$R$9)*$R$11*$R$16</f>
        <v>54000</v>
      </c>
      <c r="O107" s="151">
        <f>IF(E106&lt;$R$19,(($I$8*$R$9)-$I$35)*($R$11*(1+$I$36))*$R$16,($I$8*$R$9)*$R$11*$R$16)</f>
        <v>54000</v>
      </c>
      <c r="P107" s="14"/>
      <c r="Q107" s="151">
        <f>IF(E106&gt;$R$19,($I$8*$R$9)*$R$11*$R$16,"X")</f>
        <v>54000</v>
      </c>
      <c r="R107" s="151">
        <v>0</v>
      </c>
      <c r="S107" s="19"/>
      <c r="T107" s="19"/>
    </row>
    <row r="108" spans="1:20" ht="15" customHeight="1" x14ac:dyDescent="0.3">
      <c r="A108" s="14"/>
      <c r="B108" s="14"/>
      <c r="C108" s="19"/>
      <c r="D108" s="19"/>
      <c r="E108" s="18" t="s">
        <v>67</v>
      </c>
      <c r="F108" s="14"/>
      <c r="G108" s="14"/>
      <c r="H108" s="14"/>
      <c r="I108" s="14"/>
      <c r="J108" s="14"/>
      <c r="K108" s="14"/>
      <c r="L108" s="14"/>
      <c r="M108" s="151">
        <f>-($I$8*$I$12)</f>
        <v>-50000</v>
      </c>
      <c r="N108" s="197">
        <f>IF($X31&gt;0,-(($I$8*$I$12)+($X$18*$I$28*$I$8)),-($I$8*$I$12))</f>
        <v>-50000</v>
      </c>
      <c r="O108" s="197">
        <f>-(IF($X$19&gt;0,(($I$8*$I$12)+($W$18*$I$33*$I$8)),($I$8*$I$12)))</f>
        <v>-50000</v>
      </c>
      <c r="P108" s="14"/>
      <c r="Q108" s="151">
        <f>IF(Q107=0,-$I$43,-$I$8*$I$12)</f>
        <v>-50000</v>
      </c>
      <c r="R108" s="151">
        <f>-$I$43</f>
        <v>-5000</v>
      </c>
      <c r="S108" s="19"/>
      <c r="T108" s="19"/>
    </row>
    <row r="109" spans="1:20" ht="15" customHeight="1" x14ac:dyDescent="0.3">
      <c r="A109" s="14"/>
      <c r="B109" s="14"/>
      <c r="C109" s="19"/>
      <c r="D109" s="19"/>
      <c r="E109" s="152" t="s">
        <v>71</v>
      </c>
      <c r="F109" s="153"/>
      <c r="G109" s="153"/>
      <c r="H109" s="153"/>
      <c r="I109" s="153"/>
      <c r="J109" s="153"/>
      <c r="K109" s="153"/>
      <c r="L109" s="153"/>
      <c r="M109" s="155">
        <f>IF(M103&gt;0,M103*$I$16,M103*$I$15)</f>
        <v>170.34661909227813</v>
      </c>
      <c r="N109" s="155">
        <f>IF(N103&gt;0,N103*$I$16,N103*$I$15)</f>
        <v>-8043.8723950000003</v>
      </c>
      <c r="O109" s="155">
        <f>IF(O103&gt;0,O103*$I$16,O103*$I$15)</f>
        <v>-3831.0000938624994</v>
      </c>
      <c r="P109" s="153"/>
      <c r="Q109" s="155">
        <f>IF(Q103&gt;0,Q103*$I$16,Q103*$I$15)</f>
        <v>-982.10276150390575</v>
      </c>
      <c r="R109" s="155">
        <f>IF(R103&gt;0,R103*$I$16,R103*$I$15)</f>
        <v>897.749806982422</v>
      </c>
      <c r="S109" s="19"/>
      <c r="T109" s="19"/>
    </row>
    <row r="110" spans="1:20" ht="15" customHeight="1" x14ac:dyDescent="0.3">
      <c r="A110" s="14"/>
      <c r="B110" s="14"/>
      <c r="C110" s="19"/>
      <c r="D110" s="19"/>
      <c r="E110" s="18" t="s">
        <v>57</v>
      </c>
      <c r="F110" s="14"/>
      <c r="G110" s="14"/>
      <c r="H110" s="14"/>
      <c r="I110" s="14"/>
      <c r="J110" s="14"/>
      <c r="K110" s="14"/>
      <c r="L110" s="14"/>
      <c r="M110" s="151">
        <f>SUM(M107:M109)</f>
        <v>4170.3466190922782</v>
      </c>
      <c r="N110" s="151">
        <f t="shared" ref="N110:O110" si="17">SUM(N107:N109)</f>
        <v>-4043.8723950000003</v>
      </c>
      <c r="O110" s="151">
        <f t="shared" si="17"/>
        <v>168.9999061375006</v>
      </c>
      <c r="P110" s="14"/>
      <c r="Q110" s="151">
        <f>SUM(Q107:Q109)</f>
        <v>3017.8972384960944</v>
      </c>
      <c r="R110" s="151">
        <f>SUM(R107:R109)</f>
        <v>-4102.2501930175777</v>
      </c>
      <c r="S110" s="19"/>
      <c r="T110" s="19"/>
    </row>
    <row r="111" spans="1:20" ht="15" customHeight="1" x14ac:dyDescent="0.3">
      <c r="A111" s="14"/>
      <c r="B111" s="14"/>
      <c r="C111" s="19"/>
      <c r="D111" s="19"/>
      <c r="E111" s="152" t="s">
        <v>40</v>
      </c>
      <c r="F111" s="153"/>
      <c r="G111" s="153"/>
      <c r="H111" s="153"/>
      <c r="I111" s="153"/>
      <c r="J111" s="153"/>
      <c r="K111" s="153"/>
      <c r="L111" s="153"/>
      <c r="M111" s="156">
        <f>IF(M110&gt;0,M110*(0.124+0.15+0.04),0)</f>
        <v>1309.4888383949753</v>
      </c>
      <c r="N111" s="156">
        <f>IF(N110&gt;0,N110*(0.124+0.15+0.04),0)</f>
        <v>0</v>
      </c>
      <c r="O111" s="156">
        <f>IF(O110&gt;0,O110*(0.124+0.15+0.04),0)</f>
        <v>53.065970527175189</v>
      </c>
      <c r="P111" s="153"/>
      <c r="Q111" s="156">
        <f>IF(Q110&gt;0,Q110*(0.124+0.15+0.04),0)</f>
        <v>947.61973288777358</v>
      </c>
      <c r="R111" s="156">
        <f>IF(R110&gt;0,R110*(0.124+0.15+0.04),0)</f>
        <v>0</v>
      </c>
      <c r="S111" s="19"/>
      <c r="T111" s="19"/>
    </row>
    <row r="112" spans="1:20" ht="15" customHeight="1" x14ac:dyDescent="0.3">
      <c r="A112" s="14"/>
      <c r="B112" s="14"/>
      <c r="C112" s="19"/>
      <c r="D112" s="19"/>
      <c r="E112" s="157" t="s">
        <v>41</v>
      </c>
      <c r="F112" s="14"/>
      <c r="G112" s="14"/>
      <c r="H112" s="14"/>
      <c r="I112" s="14"/>
      <c r="J112" s="14"/>
      <c r="K112" s="14"/>
      <c r="L112" s="14"/>
      <c r="M112" s="158">
        <f>M110-M111</f>
        <v>2860.8577806973026</v>
      </c>
      <c r="N112" s="158">
        <f t="shared" ref="N112:O112" si="18">N110-N111</f>
        <v>-4043.8723950000003</v>
      </c>
      <c r="O112" s="158">
        <f t="shared" si="18"/>
        <v>115.93393561032542</v>
      </c>
      <c r="P112" s="14"/>
      <c r="Q112" s="158">
        <f>Q110-Q111</f>
        <v>2070.277505608321</v>
      </c>
      <c r="R112" s="158">
        <f>R110-R111</f>
        <v>-4102.2501930175777</v>
      </c>
      <c r="S112" s="19"/>
      <c r="T112" s="19"/>
    </row>
    <row r="113" spans="1:20" ht="15" customHeight="1" thickBot="1" x14ac:dyDescent="0.35">
      <c r="A113" s="14"/>
      <c r="B113" s="14"/>
      <c r="C113" s="19"/>
      <c r="D113" s="19"/>
      <c r="E113" s="157" t="s">
        <v>68</v>
      </c>
      <c r="F113" s="14"/>
      <c r="G113" s="14"/>
      <c r="H113" s="14"/>
      <c r="I113" s="14"/>
      <c r="J113" s="14"/>
      <c r="K113" s="14"/>
      <c r="L113" s="14"/>
      <c r="M113" s="151">
        <v>0</v>
      </c>
      <c r="N113" s="151">
        <v>0</v>
      </c>
      <c r="O113" s="151">
        <v>0</v>
      </c>
      <c r="P113" s="14"/>
      <c r="Q113" s="151">
        <f>IF(E106=$R$19,$I$8*$I$46,0)</f>
        <v>0</v>
      </c>
      <c r="R113" s="151">
        <v>0</v>
      </c>
      <c r="S113" s="19"/>
      <c r="T113" s="19"/>
    </row>
    <row r="114" spans="1:20" ht="15" customHeight="1" thickBot="1" x14ac:dyDescent="0.35">
      <c r="A114" s="14"/>
      <c r="B114" s="14"/>
      <c r="C114" s="19"/>
      <c r="D114" s="132"/>
      <c r="E114" s="133" t="s">
        <v>77</v>
      </c>
      <c r="F114" s="134"/>
      <c r="G114" s="134"/>
      <c r="H114" s="134"/>
      <c r="I114" s="134"/>
      <c r="J114" s="134"/>
      <c r="K114" s="135"/>
      <c r="L114" s="19"/>
      <c r="M114" s="163"/>
      <c r="N114" s="164"/>
      <c r="O114" s="164"/>
      <c r="P114" s="19"/>
      <c r="Q114" s="164"/>
      <c r="R114" s="164"/>
      <c r="S114" s="19"/>
      <c r="T114" s="19"/>
    </row>
    <row r="115" spans="1:20" ht="15" customHeight="1" x14ac:dyDescent="0.3">
      <c r="A115" s="14"/>
      <c r="B115" s="14"/>
      <c r="C115" s="19"/>
      <c r="D115" s="138"/>
      <c r="E115" s="165" t="s">
        <v>1</v>
      </c>
      <c r="F115" s="140"/>
      <c r="G115" s="140"/>
      <c r="H115" s="140"/>
      <c r="I115" s="140"/>
      <c r="J115" s="140"/>
      <c r="K115" s="140"/>
      <c r="L115" s="134"/>
      <c r="M115" s="170">
        <f>M102+M113</f>
        <v>85000</v>
      </c>
      <c r="N115" s="141">
        <f>N102+N113</f>
        <v>85000</v>
      </c>
      <c r="O115" s="141">
        <f t="shared" ref="O115" si="19">O102+O113</f>
        <v>85000</v>
      </c>
      <c r="P115" s="134"/>
      <c r="Q115" s="141">
        <f>Q102+Q113</f>
        <v>100000</v>
      </c>
      <c r="R115" s="141">
        <f>R102+R113</f>
        <v>0</v>
      </c>
      <c r="S115" s="135"/>
      <c r="T115" s="19"/>
    </row>
    <row r="116" spans="1:20" ht="15" customHeight="1" x14ac:dyDescent="0.3">
      <c r="A116" s="14"/>
      <c r="B116" s="14"/>
      <c r="C116" s="19"/>
      <c r="D116" s="138"/>
      <c r="E116" s="166" t="s">
        <v>55</v>
      </c>
      <c r="F116" s="140"/>
      <c r="G116" s="140"/>
      <c r="H116" s="140"/>
      <c r="I116" s="140"/>
      <c r="J116" s="140"/>
      <c r="K116" s="140"/>
      <c r="L116" s="140"/>
      <c r="M116" s="171">
        <f>M103+M112-M113</f>
        <v>16488.58730807955</v>
      </c>
      <c r="N116" s="171">
        <f t="shared" ref="N116:O116" si="20">N103+N112-N113</f>
        <v>-127795.755395</v>
      </c>
      <c r="O116" s="171">
        <f t="shared" si="20"/>
        <v>-58822.529046889664</v>
      </c>
      <c r="P116" s="140"/>
      <c r="Q116" s="171">
        <f>Q103+Q112-Q113</f>
        <v>-13038.995748297921</v>
      </c>
      <c r="R116" s="171">
        <f>R103+R112-R113</f>
        <v>67717.73436557618</v>
      </c>
      <c r="S116" s="143"/>
      <c r="T116" s="19"/>
    </row>
    <row r="117" spans="1:20" ht="15" customHeight="1" thickBot="1" x14ac:dyDescent="0.35">
      <c r="A117" s="14"/>
      <c r="B117" s="14"/>
      <c r="C117" s="19"/>
      <c r="D117" s="167"/>
      <c r="E117" s="145" t="s">
        <v>17</v>
      </c>
      <c r="F117" s="146"/>
      <c r="G117" s="146"/>
      <c r="H117" s="146"/>
      <c r="I117" s="146"/>
      <c r="J117" s="146"/>
      <c r="K117" s="146"/>
      <c r="L117" s="146"/>
      <c r="M117" s="172">
        <f>SUM(M115:M116)</f>
        <v>101488.58730807956</v>
      </c>
      <c r="N117" s="172">
        <f t="shared" ref="N117:O117" si="21">SUM(N115:N116)</f>
        <v>-42795.755395</v>
      </c>
      <c r="O117" s="172">
        <f t="shared" si="21"/>
        <v>26177.470953110336</v>
      </c>
      <c r="P117" s="146"/>
      <c r="Q117" s="172">
        <f>SUM(Q115:Q116)</f>
        <v>86961.004251702077</v>
      </c>
      <c r="R117" s="172">
        <f>SUM(R115:R116)</f>
        <v>67717.73436557618</v>
      </c>
      <c r="S117" s="148"/>
      <c r="T117" s="19"/>
    </row>
    <row r="118" spans="1:20" ht="9.9" customHeight="1" x14ac:dyDescent="0.3">
      <c r="A118" s="14"/>
      <c r="B118" s="14"/>
      <c r="C118" s="19"/>
      <c r="D118" s="19"/>
      <c r="E118" s="103"/>
      <c r="F118" s="14"/>
      <c r="G118" s="14"/>
      <c r="H118" s="14"/>
      <c r="I118" s="14"/>
      <c r="J118" s="14"/>
      <c r="K118" s="14"/>
      <c r="L118" s="14"/>
      <c r="M118" s="103"/>
      <c r="N118" s="103"/>
      <c r="O118" s="103"/>
      <c r="P118" s="14"/>
      <c r="Q118" s="103"/>
      <c r="R118" s="103"/>
      <c r="S118" s="19"/>
      <c r="T118" s="19"/>
    </row>
    <row r="119" spans="1:20" ht="15" customHeight="1" x14ac:dyDescent="0.3">
      <c r="A119" s="14"/>
      <c r="B119" s="14"/>
      <c r="C119" s="19"/>
      <c r="D119" s="19"/>
      <c r="E119" s="196">
        <f>E106+1</f>
        <v>2015</v>
      </c>
      <c r="F119" s="14"/>
      <c r="G119" s="14"/>
      <c r="H119" s="14"/>
      <c r="I119" s="14"/>
      <c r="J119" s="14"/>
      <c r="K119" s="14"/>
      <c r="L119" s="14"/>
      <c r="M119" s="158"/>
      <c r="N119" s="51"/>
      <c r="O119" s="51"/>
      <c r="P119" s="14"/>
      <c r="Q119" s="51"/>
      <c r="R119" s="51"/>
      <c r="S119" s="19"/>
      <c r="T119" s="19"/>
    </row>
    <row r="120" spans="1:20" ht="15" customHeight="1" x14ac:dyDescent="0.3">
      <c r="A120" s="14"/>
      <c r="B120" s="14"/>
      <c r="C120" s="19"/>
      <c r="D120" s="19"/>
      <c r="E120" s="159" t="s">
        <v>56</v>
      </c>
      <c r="F120" s="14"/>
      <c r="G120" s="14"/>
      <c r="H120" s="14"/>
      <c r="I120" s="14"/>
      <c r="J120" s="14"/>
      <c r="K120" s="14"/>
      <c r="L120" s="14"/>
      <c r="M120" s="151">
        <f>($I$8*$R$9)*$R$11*$R$16</f>
        <v>54000</v>
      </c>
      <c r="N120" s="151">
        <f>($I$8*$R$9)*$R$11*$R$16</f>
        <v>54000</v>
      </c>
      <c r="O120" s="151">
        <f>IF(E119&lt;$R$19,(($I$8*$R$9)-$I$35)*($R$11*(1+$I$36))*$R$16,($I$8*$R$9)*$R$11*$R$16)</f>
        <v>54000</v>
      </c>
      <c r="P120" s="14"/>
      <c r="Q120" s="151">
        <f>IF(E119&gt;$R$19,($I$8*$R$9)*$R$11*$R$16,0)</f>
        <v>54000</v>
      </c>
      <c r="R120" s="151">
        <v>0</v>
      </c>
      <c r="S120" s="19"/>
      <c r="T120" s="19"/>
    </row>
    <row r="121" spans="1:20" ht="15" customHeight="1" x14ac:dyDescent="0.3">
      <c r="A121" s="14"/>
      <c r="B121" s="14"/>
      <c r="C121" s="19"/>
      <c r="D121" s="19"/>
      <c r="E121" s="18" t="s">
        <v>67</v>
      </c>
      <c r="F121" s="14"/>
      <c r="G121" s="14"/>
      <c r="H121" s="14"/>
      <c r="I121" s="14"/>
      <c r="J121" s="14"/>
      <c r="K121" s="14"/>
      <c r="L121" s="14"/>
      <c r="M121" s="151">
        <f>-($I$8*$I$12)</f>
        <v>-50000</v>
      </c>
      <c r="N121" s="197">
        <f>IF($X44&gt;0,-(($I$8*$I$12)+($X$18*$I$28*$I$8)),-($I$8*$I$12))</f>
        <v>-50000</v>
      </c>
      <c r="O121" s="197">
        <f>-(IF($X$20&gt;0,(($I$8*$I$12)+($W$18*$I$33*$I$8)),($I$8*$I$12)))</f>
        <v>-50000</v>
      </c>
      <c r="P121" s="14"/>
      <c r="Q121" s="151">
        <f>IF(Q120=0,-$I$43,-$I$8*$I$12)</f>
        <v>-50000</v>
      </c>
      <c r="R121" s="151">
        <f>-$I$43</f>
        <v>-5000</v>
      </c>
      <c r="S121" s="19"/>
      <c r="T121" s="19"/>
    </row>
    <row r="122" spans="1:20" ht="15" customHeight="1" x14ac:dyDescent="0.3">
      <c r="A122" s="14"/>
      <c r="B122" s="14"/>
      <c r="C122" s="19"/>
      <c r="D122" s="19"/>
      <c r="E122" s="152" t="s">
        <v>71</v>
      </c>
      <c r="F122" s="153"/>
      <c r="G122" s="153"/>
      <c r="H122" s="153"/>
      <c r="I122" s="153"/>
      <c r="J122" s="153"/>
      <c r="K122" s="153"/>
      <c r="L122" s="153"/>
      <c r="M122" s="155">
        <f>IF(M116&gt;0,M116*$I$16,M116*$I$15)</f>
        <v>206.10734135099437</v>
      </c>
      <c r="N122" s="155">
        <f>IF(N116&gt;0,N116*$I$16,N116*$I$15)</f>
        <v>-8306.724100675001</v>
      </c>
      <c r="O122" s="155">
        <f>IF(O116&gt;0,O116*$I$16,O116*$I$15)</f>
        <v>-3823.4643880478284</v>
      </c>
      <c r="P122" s="153"/>
      <c r="Q122" s="155">
        <f>IF(Q116&gt;0,Q116*$I$16,Q116*$I$15)</f>
        <v>-847.53472363936487</v>
      </c>
      <c r="R122" s="155">
        <f>IF(R116&gt;0,R116*$I$16,R116*$I$15)</f>
        <v>846.47167956970225</v>
      </c>
      <c r="S122" s="19"/>
      <c r="T122" s="19"/>
    </row>
    <row r="123" spans="1:20" ht="15" customHeight="1" x14ac:dyDescent="0.3">
      <c r="A123" s="14"/>
      <c r="B123" s="14"/>
      <c r="C123" s="19"/>
      <c r="D123" s="19"/>
      <c r="E123" s="18" t="s">
        <v>57</v>
      </c>
      <c r="F123" s="14"/>
      <c r="G123" s="14"/>
      <c r="H123" s="14"/>
      <c r="I123" s="14"/>
      <c r="J123" s="14"/>
      <c r="K123" s="14"/>
      <c r="L123" s="14"/>
      <c r="M123" s="151">
        <f>SUM(M120:M122)</f>
        <v>4206.1073413509948</v>
      </c>
      <c r="N123" s="151">
        <f t="shared" ref="N123:O123" si="22">SUM(N120:N122)</f>
        <v>-4306.724100675001</v>
      </c>
      <c r="O123" s="151">
        <f t="shared" si="22"/>
        <v>176.53561195217162</v>
      </c>
      <c r="P123" s="14"/>
      <c r="Q123" s="151">
        <f>SUM(Q120:Q122)</f>
        <v>3152.465276360635</v>
      </c>
      <c r="R123" s="151">
        <f>SUM(R120:R122)</f>
        <v>-4153.5283204302978</v>
      </c>
      <c r="S123" s="19"/>
      <c r="T123" s="19"/>
    </row>
    <row r="124" spans="1:20" ht="15" customHeight="1" x14ac:dyDescent="0.3">
      <c r="A124" s="14"/>
      <c r="B124" s="14"/>
      <c r="C124" s="19"/>
      <c r="D124" s="19"/>
      <c r="E124" s="152" t="s">
        <v>40</v>
      </c>
      <c r="F124" s="153"/>
      <c r="G124" s="153"/>
      <c r="H124" s="153"/>
      <c r="I124" s="153"/>
      <c r="J124" s="153"/>
      <c r="K124" s="153"/>
      <c r="L124" s="153"/>
      <c r="M124" s="156">
        <f>IF(M123&gt;0,M123*(0.124+0.15+0.04),0)</f>
        <v>1320.7177051842125</v>
      </c>
      <c r="N124" s="156">
        <f>IF(N123&gt;0,N123*(0.124+0.15+0.04),0)</f>
        <v>0</v>
      </c>
      <c r="O124" s="156">
        <f>IF(O123&gt;0,O123*(0.124+0.15+0.04),0)</f>
        <v>55.432182152981888</v>
      </c>
      <c r="P124" s="153"/>
      <c r="Q124" s="156">
        <f>IF(Q123&gt;0,Q123*(0.124+0.15+0.04),0)</f>
        <v>989.8740967772394</v>
      </c>
      <c r="R124" s="156">
        <f>IF(R123&gt;0,R123*(0.124+0.15+0.04),0)</f>
        <v>0</v>
      </c>
      <c r="S124" s="19"/>
      <c r="T124" s="19"/>
    </row>
    <row r="125" spans="1:20" ht="15" customHeight="1" x14ac:dyDescent="0.3">
      <c r="A125" s="14"/>
      <c r="B125" s="14"/>
      <c r="C125" s="19"/>
      <c r="D125" s="19"/>
      <c r="E125" s="157" t="s">
        <v>41</v>
      </c>
      <c r="F125" s="14"/>
      <c r="G125" s="14"/>
      <c r="H125" s="14"/>
      <c r="I125" s="14"/>
      <c r="J125" s="14"/>
      <c r="K125" s="14"/>
      <c r="L125" s="14"/>
      <c r="M125" s="158">
        <f>M123-M124</f>
        <v>2885.3896361667821</v>
      </c>
      <c r="N125" s="158">
        <f t="shared" ref="N125:O125" si="23">N123-N124</f>
        <v>-4306.724100675001</v>
      </c>
      <c r="O125" s="158">
        <f t="shared" si="23"/>
        <v>121.10342979918974</v>
      </c>
      <c r="P125" s="14"/>
      <c r="Q125" s="158">
        <f>Q123-Q124</f>
        <v>2162.5911795833954</v>
      </c>
      <c r="R125" s="158">
        <f>R123-R124</f>
        <v>-4153.5283204302978</v>
      </c>
      <c r="S125" s="19"/>
      <c r="T125" s="19"/>
    </row>
    <row r="126" spans="1:20" ht="15" customHeight="1" thickBot="1" x14ac:dyDescent="0.35">
      <c r="A126" s="14"/>
      <c r="B126" s="14"/>
      <c r="C126" s="19"/>
      <c r="D126" s="19"/>
      <c r="E126" s="157" t="s">
        <v>68</v>
      </c>
      <c r="F126" s="14"/>
      <c r="G126" s="14"/>
      <c r="H126" s="14"/>
      <c r="I126" s="14"/>
      <c r="J126" s="14"/>
      <c r="K126" s="14"/>
      <c r="L126" s="14"/>
      <c r="M126" s="151">
        <v>0</v>
      </c>
      <c r="N126" s="151">
        <v>0</v>
      </c>
      <c r="O126" s="151">
        <v>0</v>
      </c>
      <c r="P126" s="14"/>
      <c r="Q126" s="151">
        <f>IF(E119=$R$19,$I$8*$I$46,0)</f>
        <v>0</v>
      </c>
      <c r="R126" s="151">
        <v>0</v>
      </c>
      <c r="S126" s="19"/>
      <c r="T126" s="19"/>
    </row>
    <row r="127" spans="1:20" ht="15" customHeight="1" thickBot="1" x14ac:dyDescent="0.35">
      <c r="A127" s="14"/>
      <c r="B127" s="14"/>
      <c r="C127" s="19"/>
      <c r="D127" s="132"/>
      <c r="E127" s="133" t="s">
        <v>77</v>
      </c>
      <c r="F127" s="134"/>
      <c r="G127" s="134"/>
      <c r="H127" s="134"/>
      <c r="I127" s="134"/>
      <c r="J127" s="134"/>
      <c r="K127" s="135"/>
      <c r="L127" s="19"/>
      <c r="M127" s="163"/>
      <c r="N127" s="164"/>
      <c r="O127" s="164"/>
      <c r="P127" s="19"/>
      <c r="Q127" s="164"/>
      <c r="R127" s="164"/>
      <c r="S127" s="19"/>
      <c r="T127" s="19"/>
    </row>
    <row r="128" spans="1:20" ht="15" customHeight="1" x14ac:dyDescent="0.3">
      <c r="A128" s="14"/>
      <c r="B128" s="14"/>
      <c r="C128" s="19"/>
      <c r="D128" s="138"/>
      <c r="E128" s="165" t="s">
        <v>1</v>
      </c>
      <c r="F128" s="140"/>
      <c r="G128" s="140"/>
      <c r="H128" s="140"/>
      <c r="I128" s="140"/>
      <c r="J128" s="140"/>
      <c r="K128" s="140"/>
      <c r="L128" s="134"/>
      <c r="M128" s="170">
        <f>M115+M126</f>
        <v>85000</v>
      </c>
      <c r="N128" s="141">
        <f>N115+N126</f>
        <v>85000</v>
      </c>
      <c r="O128" s="141">
        <f t="shared" ref="O128" si="24">O115+O126</f>
        <v>85000</v>
      </c>
      <c r="P128" s="134"/>
      <c r="Q128" s="141">
        <f>Q115+Q126</f>
        <v>100000</v>
      </c>
      <c r="R128" s="141">
        <f>R115+R126</f>
        <v>0</v>
      </c>
      <c r="S128" s="135"/>
      <c r="T128" s="19"/>
    </row>
    <row r="129" spans="1:20" ht="15" customHeight="1" x14ac:dyDescent="0.3">
      <c r="A129" s="14"/>
      <c r="B129" s="14"/>
      <c r="C129" s="19"/>
      <c r="D129" s="138"/>
      <c r="E129" s="166" t="s">
        <v>55</v>
      </c>
      <c r="F129" s="140"/>
      <c r="G129" s="140"/>
      <c r="H129" s="140"/>
      <c r="I129" s="140"/>
      <c r="J129" s="140"/>
      <c r="K129" s="140"/>
      <c r="L129" s="140"/>
      <c r="M129" s="171">
        <f>M116+M125-M126</f>
        <v>19373.976944246333</v>
      </c>
      <c r="N129" s="171">
        <f t="shared" ref="N129:O129" si="25">N116+N125-N126</f>
        <v>-132102.47949567501</v>
      </c>
      <c r="O129" s="171">
        <f t="shared" si="25"/>
        <v>-58701.425617090477</v>
      </c>
      <c r="P129" s="140"/>
      <c r="Q129" s="171">
        <f>Q116+Q125-Q126</f>
        <v>-10876.404568714526</v>
      </c>
      <c r="R129" s="171">
        <f>R116+R125-R126</f>
        <v>63564.206045145882</v>
      </c>
      <c r="S129" s="143"/>
      <c r="T129" s="19"/>
    </row>
    <row r="130" spans="1:20" ht="15" customHeight="1" thickBot="1" x14ac:dyDescent="0.35">
      <c r="A130" s="14"/>
      <c r="B130" s="14"/>
      <c r="C130" s="19"/>
      <c r="D130" s="167"/>
      <c r="E130" s="145" t="s">
        <v>17</v>
      </c>
      <c r="F130" s="146"/>
      <c r="G130" s="146"/>
      <c r="H130" s="146"/>
      <c r="I130" s="146"/>
      <c r="J130" s="146"/>
      <c r="K130" s="146"/>
      <c r="L130" s="146"/>
      <c r="M130" s="172">
        <f>SUM(M128:M129)</f>
        <v>104373.97694424633</v>
      </c>
      <c r="N130" s="172">
        <f t="shared" ref="N130:O130" si="26">SUM(N128:N129)</f>
        <v>-47102.479495675012</v>
      </c>
      <c r="O130" s="172">
        <f t="shared" si="26"/>
        <v>26298.574382909523</v>
      </c>
      <c r="P130" s="146"/>
      <c r="Q130" s="172">
        <f>SUM(Q128:Q129)</f>
        <v>89123.595431285474</v>
      </c>
      <c r="R130" s="172">
        <f>SUM(R128:R129)</f>
        <v>63564.206045145882</v>
      </c>
      <c r="S130" s="148"/>
      <c r="T130" s="19"/>
    </row>
    <row r="131" spans="1:20" ht="9.9" customHeight="1" thickBot="1" x14ac:dyDescent="0.35">
      <c r="A131" s="14"/>
      <c r="B131" s="14"/>
      <c r="C131" s="19"/>
      <c r="D131" s="19"/>
      <c r="E131" s="103"/>
      <c r="F131" s="14"/>
      <c r="G131" s="14"/>
      <c r="H131" s="14"/>
      <c r="I131" s="14"/>
      <c r="J131" s="14"/>
      <c r="K131" s="14"/>
      <c r="L131" s="14"/>
      <c r="M131" s="103"/>
      <c r="N131" s="103"/>
      <c r="O131" s="103"/>
      <c r="P131" s="14"/>
      <c r="Q131" s="103"/>
      <c r="R131" s="103"/>
      <c r="S131" s="19"/>
      <c r="T131" s="19"/>
    </row>
    <row r="132" spans="1:20" ht="15" thickBot="1" x14ac:dyDescent="0.35">
      <c r="A132" s="14"/>
      <c r="B132" s="14"/>
      <c r="C132" s="19"/>
      <c r="D132" s="174"/>
      <c r="E132" s="175" t="s">
        <v>129</v>
      </c>
      <c r="F132" s="176"/>
      <c r="G132" s="176"/>
      <c r="H132" s="176"/>
      <c r="I132" s="176"/>
      <c r="J132" s="176"/>
      <c r="K132" s="177"/>
      <c r="L132" s="19"/>
      <c r="M132" s="106"/>
      <c r="N132" s="106"/>
      <c r="O132" s="106"/>
      <c r="P132" s="19"/>
      <c r="Q132" s="106"/>
      <c r="R132" s="164"/>
      <c r="S132" s="131"/>
      <c r="T132" s="19"/>
    </row>
    <row r="133" spans="1:20" ht="14.4" x14ac:dyDescent="0.3">
      <c r="A133" s="14"/>
      <c r="B133" s="14"/>
      <c r="C133" s="19"/>
      <c r="D133" s="178"/>
      <c r="E133" s="179" t="s">
        <v>69</v>
      </c>
      <c r="F133" s="180"/>
      <c r="G133" s="180"/>
      <c r="H133" s="180"/>
      <c r="I133" s="180"/>
      <c r="J133" s="180"/>
      <c r="K133" s="180"/>
      <c r="L133" s="176"/>
      <c r="M133" s="181">
        <f>M104-M65</f>
        <v>53219.917027382253</v>
      </c>
      <c r="N133" s="181">
        <f>N104-N65</f>
        <v>-84159.695500000002</v>
      </c>
      <c r="O133" s="181">
        <f>O104-O65</f>
        <v>-19346.275482499987</v>
      </c>
      <c r="P133" s="176"/>
      <c r="Q133" s="181">
        <f>Q104-Q65</f>
        <v>39482.914246093758</v>
      </c>
      <c r="R133" s="182">
        <f>R104-R65</f>
        <v>26412.172058593758</v>
      </c>
      <c r="S133" s="183"/>
      <c r="T133" s="19"/>
    </row>
    <row r="134" spans="1:20" ht="15.75" customHeight="1" thickBot="1" x14ac:dyDescent="0.35">
      <c r="A134" s="14"/>
      <c r="B134" s="14"/>
      <c r="C134" s="19"/>
      <c r="D134" s="184"/>
      <c r="E134" s="185" t="s">
        <v>70</v>
      </c>
      <c r="F134" s="186"/>
      <c r="G134" s="186"/>
      <c r="H134" s="186"/>
      <c r="I134" s="186"/>
      <c r="J134" s="186"/>
      <c r="K134" s="186"/>
      <c r="L134" s="186"/>
      <c r="M134" s="187">
        <f>M133/$I$8</f>
        <v>532.19917027382257</v>
      </c>
      <c r="N134" s="187">
        <f t="shared" ref="N134:O134" si="27">N133/$I$8</f>
        <v>-841.59695499999998</v>
      </c>
      <c r="O134" s="187">
        <f t="shared" si="27"/>
        <v>-193.46275482499988</v>
      </c>
      <c r="P134" s="186"/>
      <c r="Q134" s="187">
        <f>Q133/$I$8</f>
        <v>394.82914246093759</v>
      </c>
      <c r="R134" s="187">
        <f>R133/$I$8</f>
        <v>264.12172058593757</v>
      </c>
      <c r="S134" s="188"/>
      <c r="T134" s="19"/>
    </row>
    <row r="135" spans="1:20" ht="14.4" x14ac:dyDescent="0.3">
      <c r="A135" s="14"/>
      <c r="B135" s="14"/>
      <c r="C135" s="19"/>
      <c r="D135" s="19"/>
      <c r="E135" s="242"/>
      <c r="F135" s="14"/>
      <c r="G135" s="14"/>
      <c r="H135" s="14"/>
      <c r="I135" s="14"/>
      <c r="J135" s="14"/>
      <c r="K135" s="14"/>
      <c r="L135" s="14"/>
      <c r="M135" s="243"/>
      <c r="N135" s="244"/>
      <c r="O135" s="244"/>
      <c r="P135" s="244"/>
      <c r="Q135" s="14"/>
      <c r="R135" s="244"/>
      <c r="S135" s="19"/>
      <c r="T135" s="19"/>
    </row>
    <row r="136" spans="1:20" ht="15.75" customHeight="1" x14ac:dyDescent="0.3">
      <c r="C136" s="50"/>
      <c r="D136" s="50"/>
      <c r="E136" s="269"/>
      <c r="F136" s="269"/>
      <c r="G136" s="269"/>
      <c r="H136" s="269"/>
      <c r="I136" s="269"/>
      <c r="J136" s="269"/>
      <c r="K136" s="269"/>
      <c r="M136" s="95"/>
      <c r="N136" s="84"/>
      <c r="O136" s="84"/>
      <c r="P136" s="84"/>
      <c r="R136" s="84"/>
      <c r="S136" s="50"/>
      <c r="T136" s="50"/>
    </row>
    <row r="137" spans="1:20" ht="14.4" x14ac:dyDescent="0.3">
      <c r="C137" s="50"/>
      <c r="D137" s="50"/>
      <c r="E137" s="94"/>
      <c r="M137" s="95"/>
      <c r="N137" s="84"/>
      <c r="O137" s="84"/>
      <c r="P137" s="84"/>
      <c r="R137" s="84"/>
      <c r="S137" s="50"/>
      <c r="T137" s="50"/>
    </row>
    <row r="138" spans="1:20" ht="14.4" x14ac:dyDescent="0.3">
      <c r="C138" s="50"/>
      <c r="D138" s="50"/>
      <c r="E138" s="96"/>
      <c r="M138" s="96"/>
      <c r="N138" s="96"/>
      <c r="O138" s="96"/>
      <c r="P138" s="96"/>
      <c r="R138" s="96"/>
      <c r="S138" s="50"/>
      <c r="T138" s="50"/>
    </row>
    <row r="139" spans="1:20" ht="14.4" x14ac:dyDescent="0.3">
      <c r="C139" s="50"/>
      <c r="D139" s="50"/>
      <c r="E139" s="96"/>
      <c r="M139" s="96"/>
      <c r="N139" s="96"/>
      <c r="O139" s="96"/>
      <c r="P139" s="96"/>
      <c r="R139" s="96"/>
      <c r="S139" s="50"/>
      <c r="T139" s="50"/>
    </row>
    <row r="140" spans="1:20" ht="14.4" x14ac:dyDescent="0.3">
      <c r="C140" s="50"/>
      <c r="D140" s="50"/>
      <c r="E140" s="96"/>
      <c r="M140" s="96"/>
      <c r="N140" s="96"/>
      <c r="O140" s="96"/>
      <c r="P140" s="96"/>
      <c r="R140" s="96"/>
      <c r="S140" s="50"/>
      <c r="T140" s="50"/>
    </row>
    <row r="141" spans="1:20" ht="14.4" x14ac:dyDescent="0.3">
      <c r="C141" s="50"/>
      <c r="D141" s="50"/>
      <c r="E141" s="96"/>
      <c r="M141" s="96"/>
      <c r="N141" s="96"/>
      <c r="O141" s="96"/>
      <c r="P141" s="96"/>
      <c r="R141" s="96"/>
      <c r="S141" s="50"/>
      <c r="T141" s="50"/>
    </row>
    <row r="142" spans="1:20" ht="14.4" x14ac:dyDescent="0.3">
      <c r="C142" s="50"/>
      <c r="D142" s="50"/>
      <c r="E142" s="96"/>
      <c r="M142" s="96"/>
      <c r="N142" s="96"/>
      <c r="O142" s="96"/>
      <c r="P142" s="96"/>
      <c r="R142" s="96"/>
      <c r="S142" s="50"/>
      <c r="T142" s="50"/>
    </row>
    <row r="143" spans="1:20" ht="14.4" x14ac:dyDescent="0.3">
      <c r="C143" s="50"/>
      <c r="D143" s="50"/>
      <c r="E143" s="96"/>
      <c r="M143" s="96"/>
      <c r="N143" s="96"/>
      <c r="O143" s="96"/>
      <c r="P143" s="96"/>
      <c r="R143" s="96"/>
      <c r="S143" s="50"/>
      <c r="T143" s="50"/>
    </row>
    <row r="144" spans="1:20" ht="14.4" x14ac:dyDescent="0.3">
      <c r="C144" s="50"/>
      <c r="D144" s="50"/>
      <c r="E144" s="96"/>
      <c r="M144" s="96"/>
      <c r="N144" s="96"/>
      <c r="O144" s="96"/>
      <c r="P144" s="96"/>
      <c r="R144" s="96"/>
      <c r="S144" s="50"/>
      <c r="T144" s="50"/>
    </row>
    <row r="145" spans="3:20" ht="14.4" x14ac:dyDescent="0.3">
      <c r="C145" s="50"/>
      <c r="D145" s="50"/>
      <c r="E145" s="96"/>
      <c r="M145" s="96"/>
      <c r="N145" s="96"/>
      <c r="O145" s="96"/>
      <c r="P145" s="96"/>
      <c r="R145" s="96"/>
      <c r="S145" s="50"/>
      <c r="T145" s="50"/>
    </row>
    <row r="146" spans="3:20" ht="14.4" x14ac:dyDescent="0.3">
      <c r="C146" s="50"/>
      <c r="D146" s="50"/>
      <c r="E146" s="96"/>
      <c r="M146" s="96"/>
      <c r="N146" s="96"/>
      <c r="O146" s="96"/>
      <c r="P146" s="96"/>
      <c r="R146" s="96"/>
      <c r="S146" s="50"/>
      <c r="T146" s="50"/>
    </row>
    <row r="147" spans="3:20" ht="14.4" x14ac:dyDescent="0.3">
      <c r="C147" s="50"/>
      <c r="D147" s="50"/>
      <c r="E147" s="69"/>
      <c r="M147" s="69"/>
      <c r="N147" s="13"/>
      <c r="O147" s="13"/>
      <c r="P147" s="13"/>
      <c r="Q147" s="13"/>
      <c r="S147" s="50"/>
      <c r="T147" s="50"/>
    </row>
    <row r="148" spans="3:20" ht="14.4" x14ac:dyDescent="0.3">
      <c r="C148" s="50"/>
      <c r="D148" s="50"/>
      <c r="E148" s="69"/>
      <c r="M148" s="69"/>
      <c r="N148" s="13"/>
      <c r="O148" s="13"/>
      <c r="P148" s="13"/>
      <c r="Q148" s="13"/>
      <c r="S148" s="50"/>
      <c r="T148" s="50"/>
    </row>
    <row r="149" spans="3:20" x14ac:dyDescent="0.25">
      <c r="C149" s="50"/>
      <c r="D149" s="50"/>
      <c r="E149" s="50"/>
      <c r="S149" s="50"/>
      <c r="T149" s="50"/>
    </row>
    <row r="150" spans="3:20" x14ac:dyDescent="0.25">
      <c r="C150" s="50"/>
      <c r="D150" s="50"/>
      <c r="E150" s="50"/>
      <c r="S150" s="50"/>
      <c r="T150" s="50"/>
    </row>
    <row r="151" spans="3:20" x14ac:dyDescent="0.25">
      <c r="C151" s="50"/>
      <c r="D151" s="50"/>
      <c r="S151" s="50"/>
      <c r="T151" s="50"/>
    </row>
    <row r="152" spans="3:20" x14ac:dyDescent="0.25">
      <c r="C152" s="50"/>
      <c r="D152" s="50"/>
      <c r="S152" s="50"/>
      <c r="T152" s="50"/>
    </row>
    <row r="153" spans="3:20" x14ac:dyDescent="0.25">
      <c r="C153" s="50"/>
      <c r="D153" s="50"/>
      <c r="S153" s="50"/>
      <c r="T153" s="50"/>
    </row>
    <row r="154" spans="3:20" x14ac:dyDescent="0.25">
      <c r="C154" s="50"/>
      <c r="D154" s="50"/>
      <c r="S154" s="50"/>
      <c r="T154" s="50"/>
    </row>
  </sheetData>
  <mergeCells count="12">
    <mergeCell ref="V82:Z83"/>
    <mergeCell ref="C47:I51"/>
    <mergeCell ref="E136:K136"/>
    <mergeCell ref="C6:O6"/>
    <mergeCell ref="C2:O2"/>
    <mergeCell ref="P57:R57"/>
    <mergeCell ref="K59:M59"/>
    <mergeCell ref="Q24:R24"/>
    <mergeCell ref="Q31:R31"/>
    <mergeCell ref="Q42:R42"/>
    <mergeCell ref="L58:M58"/>
    <mergeCell ref="M20:Q21"/>
  </mergeCells>
  <conditionalFormatting sqref="I36">
    <cfRule type="cellIs" dxfId="1" priority="1" operator="lessThan">
      <formula>0</formula>
    </cfRule>
  </conditionalFormatting>
  <printOptions horizontalCentered="1"/>
  <pageMargins left="0.5" right="0.5" top="0.5" bottom="0.5" header="0.3" footer="0.3"/>
  <pageSetup scale="85" fitToHeight="2" orientation="portrait" horizontalDpi="4294967293" verticalDpi="300" r:id="rId1"/>
  <headerFooter>
    <oddFooter>&amp;Lwww.coopext.colostate.edu/ABM/</oddFooter>
  </headerFooter>
  <rowBreaks count="2" manualBreakCount="2">
    <brk id="55" min="1" max="18" man="1"/>
    <brk id="105" min="1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5"/>
  <sheetViews>
    <sheetView showGridLines="0" showRowColHeaders="0" zoomScaleNormal="100" workbookViewId="0">
      <selection activeCell="C32" sqref="C32"/>
    </sheetView>
  </sheetViews>
  <sheetFormatPr defaultRowHeight="13.2" x14ac:dyDescent="0.25"/>
  <cols>
    <col min="2" max="2" width="0.88671875" customWidth="1"/>
    <col min="3" max="3" width="11.6640625" customWidth="1"/>
    <col min="4" max="4" width="0.88671875" customWidth="1"/>
    <col min="5" max="5" width="11.6640625" customWidth="1"/>
    <col min="6" max="6" width="0.88671875" customWidth="1"/>
    <col min="7" max="7" width="11.6640625" customWidth="1"/>
    <col min="8" max="8" width="0.88671875" customWidth="1"/>
    <col min="10" max="10" width="0.88671875" customWidth="1"/>
    <col min="11" max="11" width="2.6640625" customWidth="1"/>
    <col min="12" max="12" width="0.88671875" customWidth="1"/>
    <col min="13" max="15" width="10.6640625" customWidth="1"/>
    <col min="16" max="16" width="0.88671875" customWidth="1"/>
    <col min="17" max="18" width="10.6640625" customWidth="1"/>
    <col min="19" max="19" width="0.88671875" customWidth="1"/>
    <col min="20" max="20" width="4.6640625" customWidth="1"/>
    <col min="22" max="24" width="10.6640625" customWidth="1"/>
    <col min="25" max="25" width="10.6640625" bestFit="1" customWidth="1"/>
  </cols>
  <sheetData>
    <row r="1" spans="1:26" ht="13.8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6" ht="21" x14ac:dyDescent="0.4">
      <c r="A2" s="14"/>
      <c r="B2" s="14"/>
      <c r="C2" s="271" t="s">
        <v>0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198"/>
      <c r="Q2" s="85"/>
      <c r="R2" s="100"/>
      <c r="S2" s="15"/>
      <c r="T2" s="14"/>
    </row>
    <row r="3" spans="1:26" ht="14.4" x14ac:dyDescent="0.3">
      <c r="A3" s="14"/>
      <c r="B3" s="14"/>
      <c r="C3" s="16" t="s">
        <v>73</v>
      </c>
      <c r="D3" s="16"/>
      <c r="E3" s="16"/>
      <c r="F3" s="16"/>
      <c r="G3" s="16"/>
      <c r="H3" s="16"/>
      <c r="I3" s="16"/>
      <c r="J3" s="16"/>
      <c r="K3" s="14"/>
      <c r="L3" s="14"/>
      <c r="M3" s="14"/>
      <c r="N3" s="14"/>
      <c r="O3" s="14"/>
      <c r="P3" s="14"/>
      <c r="Q3" s="86"/>
      <c r="R3" s="101"/>
      <c r="S3" s="14"/>
      <c r="T3" s="14"/>
    </row>
    <row r="4" spans="1:26" ht="14.4" x14ac:dyDescent="0.3">
      <c r="A4" s="14"/>
      <c r="B4" s="14"/>
      <c r="C4" s="64" t="s">
        <v>59</v>
      </c>
      <c r="D4" s="64"/>
      <c r="E4" s="16"/>
      <c r="F4" s="16"/>
      <c r="G4" s="16"/>
      <c r="H4" s="16"/>
      <c r="I4" s="16"/>
      <c r="J4" s="16"/>
      <c r="K4" s="52"/>
      <c r="L4" s="52"/>
      <c r="M4" s="52"/>
      <c r="N4" s="52"/>
      <c r="O4" s="52"/>
      <c r="P4" s="52"/>
      <c r="Q4" s="86"/>
      <c r="R4" s="101"/>
      <c r="S4" s="52"/>
      <c r="T4" s="14"/>
    </row>
    <row r="5" spans="1:26" ht="9.9" customHeight="1" x14ac:dyDescent="0.3">
      <c r="A5" s="14"/>
      <c r="B5" s="14"/>
      <c r="C5" s="64"/>
      <c r="D5" s="64"/>
      <c r="E5" s="16"/>
      <c r="F5" s="16"/>
      <c r="G5" s="16"/>
      <c r="H5" s="16"/>
      <c r="I5" s="16"/>
      <c r="J5" s="16"/>
      <c r="K5" s="52"/>
      <c r="L5" s="52"/>
      <c r="M5" s="52"/>
      <c r="N5" s="52"/>
      <c r="O5" s="52"/>
      <c r="P5" s="52"/>
      <c r="Q5" s="86"/>
      <c r="R5" s="101"/>
      <c r="S5" s="52"/>
      <c r="T5" s="14"/>
    </row>
    <row r="6" spans="1:26" ht="54.9" customHeight="1" thickBot="1" x14ac:dyDescent="0.35">
      <c r="A6" s="14"/>
      <c r="B6" s="14"/>
      <c r="C6" s="270" t="s">
        <v>114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98"/>
      <c r="Q6" s="87"/>
      <c r="R6" s="102"/>
      <c r="S6" s="97"/>
      <c r="T6" s="14"/>
    </row>
    <row r="7" spans="1:26" ht="15" customHeight="1" x14ac:dyDescent="0.3">
      <c r="A7" s="103"/>
      <c r="B7" s="103"/>
      <c r="C7" s="104" t="s">
        <v>48</v>
      </c>
      <c r="D7" s="104"/>
      <c r="E7" s="103"/>
      <c r="F7" s="103"/>
      <c r="G7" s="103"/>
      <c r="H7" s="103"/>
      <c r="I7" s="103"/>
      <c r="J7" s="103"/>
      <c r="K7" s="14"/>
      <c r="L7" s="103"/>
      <c r="M7" s="104" t="s">
        <v>49</v>
      </c>
      <c r="N7" s="104"/>
      <c r="O7" s="104"/>
      <c r="P7" s="104"/>
      <c r="Q7" s="103"/>
      <c r="R7" s="103"/>
      <c r="S7" s="103"/>
      <c r="T7" s="14"/>
    </row>
    <row r="8" spans="1:26" ht="15" customHeight="1" x14ac:dyDescent="0.3">
      <c r="A8" s="103"/>
      <c r="B8" s="103"/>
      <c r="C8" s="17" t="s">
        <v>2</v>
      </c>
      <c r="D8" s="17"/>
      <c r="E8" s="103"/>
      <c r="F8" s="103"/>
      <c r="G8" s="103"/>
      <c r="H8" s="103"/>
      <c r="I8" s="1">
        <v>100</v>
      </c>
      <c r="J8" s="103"/>
      <c r="K8" s="14"/>
      <c r="L8" s="103"/>
      <c r="M8" s="18" t="s">
        <v>88</v>
      </c>
      <c r="N8" s="18"/>
      <c r="O8" s="18"/>
      <c r="P8" s="18"/>
      <c r="Q8" s="103"/>
      <c r="R8" s="88">
        <v>0.94</v>
      </c>
      <c r="S8" s="103"/>
      <c r="T8" s="14"/>
      <c r="V8" s="206" t="s">
        <v>83</v>
      </c>
      <c r="W8" s="206"/>
      <c r="X8" s="206"/>
      <c r="Y8" s="213">
        <f>I8*R9</f>
        <v>75</v>
      </c>
      <c r="Z8" s="206" t="s">
        <v>86</v>
      </c>
    </row>
    <row r="9" spans="1:26" ht="15" customHeight="1" x14ac:dyDescent="0.3">
      <c r="A9" s="103"/>
      <c r="B9" s="103"/>
      <c r="C9" s="17" t="s">
        <v>90</v>
      </c>
      <c r="D9" s="17"/>
      <c r="E9" s="103"/>
      <c r="F9" s="103"/>
      <c r="G9" s="103"/>
      <c r="H9" s="103"/>
      <c r="I9" s="1">
        <v>1200</v>
      </c>
      <c r="J9" s="103"/>
      <c r="K9" s="14"/>
      <c r="L9" s="103"/>
      <c r="M9" s="17" t="s">
        <v>89</v>
      </c>
      <c r="N9" s="18"/>
      <c r="O9" s="18"/>
      <c r="P9" s="18"/>
      <c r="Q9" s="103"/>
      <c r="R9" s="88">
        <v>0.75</v>
      </c>
      <c r="S9" s="103"/>
      <c r="T9" s="14"/>
    </row>
    <row r="10" spans="1:26" ht="15" customHeight="1" x14ac:dyDescent="0.3">
      <c r="A10" s="103"/>
      <c r="B10" s="103"/>
      <c r="C10" s="18" t="s">
        <v>4</v>
      </c>
      <c r="D10" s="18"/>
      <c r="E10" s="103"/>
      <c r="F10" s="103"/>
      <c r="G10" s="103"/>
      <c r="H10" s="103"/>
      <c r="I10" s="2">
        <v>850</v>
      </c>
      <c r="J10" s="103"/>
      <c r="K10" s="14"/>
      <c r="L10" s="103"/>
      <c r="M10" s="17" t="s">
        <v>32</v>
      </c>
      <c r="N10" s="105"/>
      <c r="O10" s="105"/>
      <c r="P10" s="105"/>
      <c r="Q10" s="14"/>
      <c r="R10" s="62">
        <v>375</v>
      </c>
      <c r="S10" s="14"/>
      <c r="T10" s="14"/>
    </row>
    <row r="11" spans="1:26" ht="15" customHeight="1" x14ac:dyDescent="0.3">
      <c r="A11" s="103"/>
      <c r="B11" s="103"/>
      <c r="C11" s="105" t="s">
        <v>66</v>
      </c>
      <c r="D11" s="18"/>
      <c r="E11" s="103"/>
      <c r="F11" s="103"/>
      <c r="G11" s="103"/>
      <c r="H11" s="103"/>
      <c r="I11" s="1">
        <v>15</v>
      </c>
      <c r="J11" s="103"/>
      <c r="K11" s="14"/>
      <c r="L11" s="103"/>
      <c r="M11" s="17" t="s">
        <v>33</v>
      </c>
      <c r="N11" s="105"/>
      <c r="O11" s="105"/>
      <c r="P11" s="105"/>
      <c r="Q11" s="14"/>
      <c r="R11" s="62">
        <v>600</v>
      </c>
      <c r="S11" s="14"/>
      <c r="T11" s="14"/>
    </row>
    <row r="12" spans="1:26" ht="15" customHeight="1" x14ac:dyDescent="0.3">
      <c r="A12" s="103"/>
      <c r="B12" s="103"/>
      <c r="C12" s="18" t="s">
        <v>53</v>
      </c>
      <c r="D12" s="18"/>
      <c r="E12" s="103"/>
      <c r="F12" s="103"/>
      <c r="G12" s="103"/>
      <c r="H12" s="103"/>
      <c r="I12" s="2">
        <v>500</v>
      </c>
      <c r="J12" s="103"/>
      <c r="K12" s="14"/>
      <c r="L12" s="103"/>
      <c r="M12" s="17" t="s">
        <v>50</v>
      </c>
      <c r="N12" s="105"/>
      <c r="O12" s="105"/>
      <c r="P12" s="105"/>
      <c r="Q12" s="14"/>
      <c r="R12" s="14"/>
      <c r="S12" s="14"/>
      <c r="T12" s="14"/>
    </row>
    <row r="13" spans="1:26" ht="15" customHeight="1" x14ac:dyDescent="0.3">
      <c r="A13" s="103"/>
      <c r="B13" s="103"/>
      <c r="C13" s="18" t="s">
        <v>63</v>
      </c>
      <c r="D13" s="18"/>
      <c r="E13" s="103"/>
      <c r="F13" s="103"/>
      <c r="G13" s="103"/>
      <c r="H13" s="103"/>
      <c r="I13" s="88">
        <v>0</v>
      </c>
      <c r="J13" s="103"/>
      <c r="K13" s="14"/>
      <c r="L13" s="103"/>
      <c r="M13" s="64" t="s">
        <v>51</v>
      </c>
      <c r="N13" s="105"/>
      <c r="O13" s="105"/>
      <c r="P13" s="105"/>
      <c r="Q13" s="14"/>
      <c r="R13" s="63">
        <v>1.45</v>
      </c>
      <c r="S13" s="14"/>
      <c r="T13" s="14"/>
    </row>
    <row r="14" spans="1:26" ht="15" customHeight="1" x14ac:dyDescent="0.3">
      <c r="A14" s="103"/>
      <c r="B14" s="103"/>
      <c r="C14" s="104" t="s">
        <v>52</v>
      </c>
      <c r="D14" s="104"/>
      <c r="E14" s="103"/>
      <c r="F14" s="103"/>
      <c r="G14" s="103"/>
      <c r="H14" s="103"/>
      <c r="I14" s="103"/>
      <c r="J14" s="103"/>
      <c r="K14" s="14"/>
      <c r="L14" s="103"/>
      <c r="M14" s="107" t="s">
        <v>92</v>
      </c>
      <c r="N14" s="105"/>
      <c r="O14" s="105"/>
      <c r="P14" s="105"/>
      <c r="Q14" s="14"/>
      <c r="R14" s="63">
        <v>1.32</v>
      </c>
      <c r="S14" s="14"/>
      <c r="T14" s="14"/>
    </row>
    <row r="15" spans="1:26" ht="15" customHeight="1" x14ac:dyDescent="0.3">
      <c r="A15" s="103"/>
      <c r="B15" s="103"/>
      <c r="C15" s="18" t="s">
        <v>64</v>
      </c>
      <c r="D15" s="104"/>
      <c r="E15" s="103"/>
      <c r="F15" s="103"/>
      <c r="G15" s="103"/>
      <c r="H15" s="103"/>
      <c r="I15" s="3">
        <v>6.5000000000000002E-2</v>
      </c>
      <c r="J15" s="103"/>
      <c r="K15" s="14"/>
      <c r="L15" s="103"/>
      <c r="M15" s="107" t="s">
        <v>125</v>
      </c>
      <c r="N15" s="18"/>
      <c r="O15" s="18"/>
      <c r="P15" s="18"/>
      <c r="Q15" s="14"/>
      <c r="R15" s="63">
        <v>1.25</v>
      </c>
      <c r="S15" s="14"/>
      <c r="T15" s="14"/>
      <c r="V15" s="206"/>
      <c r="W15" s="230" t="s">
        <v>78</v>
      </c>
      <c r="X15" s="231" t="s">
        <v>79</v>
      </c>
    </row>
    <row r="16" spans="1:26" ht="15" customHeight="1" x14ac:dyDescent="0.3">
      <c r="A16" s="103"/>
      <c r="B16" s="103"/>
      <c r="C16" s="18" t="s">
        <v>65</v>
      </c>
      <c r="D16" s="17"/>
      <c r="E16" s="103"/>
      <c r="F16" s="103"/>
      <c r="G16" s="103"/>
      <c r="H16" s="103"/>
      <c r="I16" s="3">
        <v>1.2500000000000001E-2</v>
      </c>
      <c r="J16" s="103"/>
      <c r="K16" s="14"/>
      <c r="L16" s="103"/>
      <c r="M16" s="107" t="s">
        <v>124</v>
      </c>
      <c r="N16" s="18"/>
      <c r="O16" s="18"/>
      <c r="P16" s="18"/>
      <c r="Q16" s="14"/>
      <c r="R16" s="63">
        <v>1.2</v>
      </c>
      <c r="S16" s="14"/>
      <c r="T16" s="14"/>
      <c r="V16" s="232">
        <f>I21</f>
        <v>2011</v>
      </c>
      <c r="W16" s="232">
        <f>12-I20</f>
        <v>4</v>
      </c>
      <c r="X16" s="232">
        <f>W16*30</f>
        <v>120</v>
      </c>
    </row>
    <row r="17" spans="1:26" ht="15" customHeight="1" x14ac:dyDescent="0.3">
      <c r="A17" s="103"/>
      <c r="B17" s="103"/>
      <c r="C17" s="105" t="s">
        <v>43</v>
      </c>
      <c r="D17" s="17"/>
      <c r="E17" s="103"/>
      <c r="F17" s="103"/>
      <c r="G17" s="103"/>
      <c r="H17" s="103"/>
      <c r="I17" s="2">
        <v>0</v>
      </c>
      <c r="J17" s="103"/>
      <c r="K17" s="14"/>
      <c r="L17" s="103"/>
      <c r="M17" s="14"/>
      <c r="N17" s="105"/>
      <c r="O17" s="105"/>
      <c r="P17" s="105"/>
      <c r="Q17" s="14"/>
      <c r="R17" s="14"/>
      <c r="S17" s="14"/>
      <c r="T17" s="14"/>
      <c r="V17" s="232">
        <f>IF($R$19&gt;(V16+1),V16+1,$R$19)</f>
        <v>2012</v>
      </c>
      <c r="W17" s="232">
        <f>IF(V17&lt;$R$19,IF(V17&lt;2000,0,12),$R$18)</f>
        <v>12</v>
      </c>
      <c r="X17" s="232">
        <f t="shared" ref="X17:X19" si="0">W17*30</f>
        <v>360</v>
      </c>
    </row>
    <row r="18" spans="1:26" ht="15" customHeight="1" x14ac:dyDescent="0.3">
      <c r="A18" s="103"/>
      <c r="B18" s="103"/>
      <c r="C18" s="17" t="s">
        <v>31</v>
      </c>
      <c r="D18" s="17"/>
      <c r="E18" s="103"/>
      <c r="F18" s="103"/>
      <c r="G18" s="103"/>
      <c r="H18" s="103"/>
      <c r="I18" s="4">
        <v>0.19</v>
      </c>
      <c r="J18" s="103"/>
      <c r="K18" s="19"/>
      <c r="L18" s="106"/>
      <c r="M18" s="104" t="s">
        <v>117</v>
      </c>
      <c r="N18" s="17"/>
      <c r="O18" s="255" t="s">
        <v>118</v>
      </c>
      <c r="P18" s="17"/>
      <c r="Q18" s="14"/>
      <c r="R18" s="194">
        <v>1</v>
      </c>
      <c r="S18" s="14"/>
      <c r="T18" s="14"/>
      <c r="V18" s="232">
        <f>IF($R$19&gt;(V17+1),V17+1,IF(V17=$R$19,0,$R$19))</f>
        <v>2013</v>
      </c>
      <c r="W18" s="232">
        <f>IF(V18&lt;$R$19,IF(V18&lt;2000,0,12),$R$18)</f>
        <v>1</v>
      </c>
      <c r="X18" s="232">
        <f t="shared" si="0"/>
        <v>30</v>
      </c>
    </row>
    <row r="19" spans="1:26" ht="15" customHeight="1" x14ac:dyDescent="0.3">
      <c r="A19" s="103"/>
      <c r="B19" s="103"/>
      <c r="J19" s="103"/>
      <c r="K19" s="14"/>
      <c r="L19" s="103"/>
      <c r="M19" s="104"/>
      <c r="N19" s="14"/>
      <c r="O19" s="256" t="s">
        <v>119</v>
      </c>
      <c r="P19" s="14"/>
      <c r="Q19" s="14"/>
      <c r="R19" s="194">
        <v>2013</v>
      </c>
      <c r="S19" s="14"/>
      <c r="T19" s="14"/>
      <c r="V19" s="232">
        <f>IF($R$19&gt;(V18+1),V18+1,IF(V18=$R$19,0,$R$19))</f>
        <v>0</v>
      </c>
      <c r="W19" s="232">
        <f>IF(V19&lt;$R$19,IF(V19&lt;2000,0,12),$R$18)</f>
        <v>0</v>
      </c>
      <c r="X19" s="232">
        <f t="shared" si="0"/>
        <v>0</v>
      </c>
    </row>
    <row r="20" spans="1:26" ht="15" customHeight="1" x14ac:dyDescent="0.3">
      <c r="A20" s="103"/>
      <c r="B20" s="103"/>
      <c r="C20" s="90" t="s">
        <v>72</v>
      </c>
      <c r="I20" s="194">
        <v>8</v>
      </c>
      <c r="J20" s="103"/>
      <c r="K20" s="14"/>
      <c r="L20" s="103"/>
      <c r="M20" s="279" t="s">
        <v>120</v>
      </c>
      <c r="N20" s="279"/>
      <c r="O20" s="279"/>
      <c r="P20" s="279"/>
      <c r="Q20" s="279"/>
      <c r="S20" s="14"/>
      <c r="T20" s="14"/>
      <c r="V20" s="233">
        <f>IF($R$19&gt;(V19+1),V19+1,IF(V19=$R$19,0,$R$19))</f>
        <v>1</v>
      </c>
      <c r="W20" s="233">
        <f>IF(V20&lt;$R$19,IF(V20&lt;2000,0,12),$R$18)</f>
        <v>0</v>
      </c>
      <c r="X20" s="233">
        <f>W20*30</f>
        <v>0</v>
      </c>
    </row>
    <row r="21" spans="1:26" ht="15" customHeight="1" x14ac:dyDescent="0.3">
      <c r="A21" s="103"/>
      <c r="B21" s="103"/>
      <c r="C21" s="104" t="s">
        <v>76</v>
      </c>
      <c r="I21" s="194">
        <v>2011</v>
      </c>
      <c r="J21" s="103"/>
      <c r="K21" s="14"/>
      <c r="L21" s="103"/>
      <c r="M21" s="279"/>
      <c r="N21" s="279"/>
      <c r="O21" s="279"/>
      <c r="P21" s="279"/>
      <c r="Q21" s="279"/>
      <c r="S21" s="14"/>
      <c r="T21" s="14"/>
      <c r="V21" s="232"/>
      <c r="W21" s="232">
        <f>SUM(W16:W20)</f>
        <v>17</v>
      </c>
      <c r="X21" s="232">
        <f>SUM(X16:X20)</f>
        <v>510</v>
      </c>
    </row>
    <row r="22" spans="1:26" ht="9.9" customHeight="1" x14ac:dyDescent="0.3">
      <c r="A22" s="103"/>
      <c r="B22" s="103"/>
      <c r="C22" s="14"/>
      <c r="D22" s="14"/>
      <c r="E22" s="14"/>
      <c r="F22" s="14"/>
      <c r="G22" s="14"/>
      <c r="H22" s="14"/>
      <c r="I22" s="14"/>
      <c r="J22" s="103"/>
      <c r="K22" s="14"/>
      <c r="L22" s="103"/>
      <c r="M22" s="14"/>
      <c r="N22" s="103"/>
      <c r="O22" s="103"/>
      <c r="P22" s="103"/>
      <c r="Q22" s="103"/>
      <c r="R22" s="14"/>
      <c r="S22" s="103"/>
      <c r="T22" s="14"/>
    </row>
    <row r="23" spans="1:26" ht="15" customHeight="1" x14ac:dyDescent="0.3">
      <c r="A23" s="103"/>
      <c r="B23" s="14"/>
      <c r="C23" s="70" t="s">
        <v>5</v>
      </c>
      <c r="D23" s="70"/>
      <c r="E23" s="103"/>
      <c r="F23" s="103"/>
      <c r="G23" s="103"/>
      <c r="H23" s="103"/>
      <c r="I23" s="103"/>
      <c r="J23" s="103"/>
      <c r="K23" s="14"/>
      <c r="L23" s="14"/>
      <c r="M23" s="14"/>
      <c r="N23" s="14"/>
      <c r="O23" s="14"/>
      <c r="P23" s="14"/>
      <c r="Q23" s="14"/>
      <c r="R23" s="14"/>
      <c r="S23" s="14"/>
      <c r="T23" s="14"/>
      <c r="V23" s="195"/>
      <c r="W23" s="195"/>
      <c r="X23" s="195"/>
    </row>
    <row r="24" spans="1:26" ht="15" customHeight="1" x14ac:dyDescent="0.3">
      <c r="A24" s="103"/>
      <c r="B24" s="234"/>
      <c r="C24" s="53"/>
      <c r="D24" s="53"/>
      <c r="E24" s="108"/>
      <c r="F24" s="108"/>
      <c r="G24" s="108"/>
      <c r="H24" s="53"/>
      <c r="I24" s="59" t="s">
        <v>6</v>
      </c>
      <c r="J24" s="71"/>
      <c r="K24" s="14"/>
      <c r="L24" s="20"/>
      <c r="M24" s="89" t="s">
        <v>7</v>
      </c>
      <c r="N24" s="89"/>
      <c r="O24" s="89"/>
      <c r="P24" s="89"/>
      <c r="Q24" s="275" t="s">
        <v>8</v>
      </c>
      <c r="R24" s="275"/>
      <c r="S24" s="21"/>
      <c r="T24" s="14"/>
    </row>
    <row r="25" spans="1:26" ht="15" customHeight="1" thickBot="1" x14ac:dyDescent="0.35">
      <c r="A25" s="103"/>
      <c r="B25" s="235"/>
      <c r="C25" s="55" t="s">
        <v>9</v>
      </c>
      <c r="D25" s="54"/>
      <c r="E25" s="109"/>
      <c r="F25" s="109"/>
      <c r="G25" s="60" t="s">
        <v>10</v>
      </c>
      <c r="H25" s="110"/>
      <c r="I25" s="60" t="s">
        <v>11</v>
      </c>
      <c r="J25" s="72"/>
      <c r="K25" s="14"/>
      <c r="L25" s="22"/>
      <c r="M25" s="91" t="s">
        <v>12</v>
      </c>
      <c r="N25" s="91"/>
      <c r="O25" s="91"/>
      <c r="P25" s="91"/>
      <c r="Q25" s="111" t="s">
        <v>13</v>
      </c>
      <c r="R25" s="111" t="s">
        <v>14</v>
      </c>
      <c r="S25" s="23"/>
      <c r="T25" s="14"/>
    </row>
    <row r="26" spans="1:26" ht="15" customHeight="1" x14ac:dyDescent="0.3">
      <c r="A26" s="103"/>
      <c r="B26" s="235"/>
      <c r="C26" s="112" t="s">
        <v>15</v>
      </c>
      <c r="D26" s="112"/>
      <c r="E26" s="109"/>
      <c r="F26" s="109"/>
      <c r="G26" s="5">
        <v>22</v>
      </c>
      <c r="H26" s="110"/>
      <c r="I26" s="6">
        <v>240</v>
      </c>
      <c r="J26" s="73"/>
      <c r="K26" s="14"/>
      <c r="L26" s="22"/>
      <c r="M26" s="7">
        <f>X16</f>
        <v>120</v>
      </c>
      <c r="N26" s="7"/>
      <c r="O26" s="7"/>
      <c r="P26" s="7"/>
      <c r="Q26" s="54">
        <f>I28*M26</f>
        <v>316.79999999999995</v>
      </c>
      <c r="R26" s="24">
        <f>Q26*I8</f>
        <v>31679.999999999996</v>
      </c>
      <c r="S26" s="25"/>
      <c r="T26" s="14"/>
    </row>
    <row r="27" spans="1:26" ht="15" customHeight="1" x14ac:dyDescent="0.3">
      <c r="A27" s="103"/>
      <c r="B27" s="235"/>
      <c r="C27" s="75" t="s">
        <v>16</v>
      </c>
      <c r="D27" s="75"/>
      <c r="E27" s="113"/>
      <c r="F27" s="109"/>
      <c r="G27" s="5">
        <v>0</v>
      </c>
      <c r="H27" s="110"/>
      <c r="I27" s="6">
        <v>0</v>
      </c>
      <c r="J27" s="73"/>
      <c r="K27" s="14"/>
      <c r="L27" s="22"/>
      <c r="M27" s="7">
        <f>(M28+M26)/2</f>
        <v>315</v>
      </c>
      <c r="N27" s="7"/>
      <c r="O27" s="7"/>
      <c r="P27" s="7"/>
      <c r="Q27" s="54">
        <f>I28*M27</f>
        <v>831.59999999999991</v>
      </c>
      <c r="R27" s="24">
        <f>Q27*I8</f>
        <v>83159.999999999985</v>
      </c>
      <c r="S27" s="25"/>
      <c r="T27" s="14"/>
    </row>
    <row r="28" spans="1:26" ht="15" customHeight="1" x14ac:dyDescent="0.3">
      <c r="A28" s="103"/>
      <c r="B28" s="236"/>
      <c r="C28" s="75" t="s">
        <v>54</v>
      </c>
      <c r="D28" s="75"/>
      <c r="E28" s="113"/>
      <c r="F28" s="113"/>
      <c r="G28" s="113"/>
      <c r="H28" s="61"/>
      <c r="I28" s="55">
        <f>(G26*(I26/2000))+(G27*(I27/2000))</f>
        <v>2.6399999999999997</v>
      </c>
      <c r="J28" s="74"/>
      <c r="K28" s="14"/>
      <c r="L28" s="26"/>
      <c r="M28" s="8">
        <f>X21</f>
        <v>510</v>
      </c>
      <c r="N28" s="8"/>
      <c r="O28" s="8"/>
      <c r="P28" s="8"/>
      <c r="Q28" s="55">
        <f>I28*M28</f>
        <v>1346.3999999999999</v>
      </c>
      <c r="R28" s="27">
        <f>Q28*I8</f>
        <v>134640</v>
      </c>
      <c r="S28" s="28"/>
      <c r="T28" s="14"/>
    </row>
    <row r="29" spans="1:26" ht="9.9" customHeight="1" x14ac:dyDescent="0.3">
      <c r="A29" s="10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6" ht="15" customHeight="1" x14ac:dyDescent="0.3">
      <c r="A30" s="103"/>
      <c r="B30" s="19"/>
      <c r="C30" s="90" t="s">
        <v>45</v>
      </c>
      <c r="D30" s="9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6" ht="15" customHeight="1" x14ac:dyDescent="0.3">
      <c r="A31" s="103"/>
      <c r="B31" s="237"/>
      <c r="C31" s="65" t="s">
        <v>18</v>
      </c>
      <c r="D31" s="65"/>
      <c r="E31" s="114"/>
      <c r="F31" s="114"/>
      <c r="G31" s="114"/>
      <c r="H31" s="114"/>
      <c r="I31" s="9">
        <v>300</v>
      </c>
      <c r="J31" s="115"/>
      <c r="K31" s="14"/>
      <c r="L31" s="29"/>
      <c r="M31" s="114"/>
      <c r="N31" s="114"/>
      <c r="O31" s="114"/>
      <c r="P31" s="114"/>
      <c r="Q31" s="276" t="s">
        <v>8</v>
      </c>
      <c r="R31" s="276"/>
      <c r="S31" s="30"/>
      <c r="T31" s="14"/>
      <c r="V31" s="79" t="s">
        <v>84</v>
      </c>
      <c r="W31" s="207"/>
      <c r="X31" s="207"/>
      <c r="Y31" s="225">
        <f>Y8-I35</f>
        <v>73</v>
      </c>
      <c r="Z31" s="226" t="s">
        <v>86</v>
      </c>
    </row>
    <row r="32" spans="1:26" ht="15" customHeight="1" thickBot="1" x14ac:dyDescent="0.35">
      <c r="A32" s="103"/>
      <c r="B32" s="238"/>
      <c r="C32" s="66" t="s">
        <v>20</v>
      </c>
      <c r="D32" s="66"/>
      <c r="E32" s="116"/>
      <c r="F32" s="116"/>
      <c r="G32" s="116"/>
      <c r="H32" s="116"/>
      <c r="I32" s="10">
        <v>4</v>
      </c>
      <c r="J32" s="117"/>
      <c r="K32" s="14"/>
      <c r="L32" s="31"/>
      <c r="M32" s="118"/>
      <c r="N32" s="118"/>
      <c r="O32" s="118"/>
      <c r="P32" s="118"/>
      <c r="Q32" s="119" t="s">
        <v>13</v>
      </c>
      <c r="R32" s="119" t="s">
        <v>14</v>
      </c>
      <c r="S32" s="34"/>
      <c r="T32" s="14"/>
      <c r="V32" s="80" t="s">
        <v>85</v>
      </c>
      <c r="W32" s="209"/>
      <c r="X32" s="209"/>
      <c r="Y32" s="227">
        <f>R11*(1+I36)</f>
        <v>540</v>
      </c>
      <c r="Z32" s="217" t="s">
        <v>87</v>
      </c>
    </row>
    <row r="33" spans="1:26" ht="15" customHeight="1" x14ac:dyDescent="0.3">
      <c r="A33" s="103"/>
      <c r="B33" s="238"/>
      <c r="C33" s="66" t="s">
        <v>22</v>
      </c>
      <c r="D33" s="66"/>
      <c r="E33" s="116"/>
      <c r="F33" s="116"/>
      <c r="G33" s="116"/>
      <c r="H33" s="116"/>
      <c r="I33" s="10">
        <v>25</v>
      </c>
      <c r="J33" s="117"/>
      <c r="K33" s="14"/>
      <c r="L33" s="31"/>
      <c r="M33" s="32" t="s">
        <v>19</v>
      </c>
      <c r="N33" s="32"/>
      <c r="O33" s="32"/>
      <c r="P33" s="32"/>
      <c r="Q33" s="92">
        <f>R33/$I$8</f>
        <v>48</v>
      </c>
      <c r="R33" s="33">
        <f>I31*I32*Y38</f>
        <v>4800</v>
      </c>
      <c r="S33" s="34"/>
      <c r="T33" s="14"/>
      <c r="V33" s="80" t="s">
        <v>80</v>
      </c>
      <c r="W33" s="209"/>
      <c r="X33" s="209"/>
      <c r="Y33" s="228">
        <f>Y8*R11*R14</f>
        <v>59400</v>
      </c>
      <c r="Z33" s="217"/>
    </row>
    <row r="34" spans="1:26" ht="15" customHeight="1" x14ac:dyDescent="0.3">
      <c r="A34" s="103"/>
      <c r="B34" s="238"/>
      <c r="C34" s="66" t="s">
        <v>110</v>
      </c>
      <c r="D34" s="66"/>
      <c r="E34" s="116"/>
      <c r="F34" s="116"/>
      <c r="G34" s="116"/>
      <c r="H34" s="116"/>
      <c r="I34" s="9">
        <v>120</v>
      </c>
      <c r="J34" s="120"/>
      <c r="K34" s="14"/>
      <c r="L34" s="31"/>
      <c r="M34" s="32" t="s">
        <v>21</v>
      </c>
      <c r="N34" s="32"/>
      <c r="O34" s="32"/>
      <c r="P34" s="32"/>
      <c r="Q34" s="92">
        <f t="shared" ref="Q34:Q38" si="1">R34/$I$8</f>
        <v>36</v>
      </c>
      <c r="R34" s="33">
        <f>I31*I32*Y39</f>
        <v>3600</v>
      </c>
      <c r="S34" s="34"/>
      <c r="T34" s="14"/>
      <c r="V34" s="81" t="s">
        <v>81</v>
      </c>
      <c r="W34" s="211"/>
      <c r="X34" s="211"/>
      <c r="Y34" s="212">
        <f>Y31*Y32*R14</f>
        <v>52034.400000000001</v>
      </c>
      <c r="Z34" s="217"/>
    </row>
    <row r="35" spans="1:26" ht="15" customHeight="1" x14ac:dyDescent="0.3">
      <c r="A35" s="103"/>
      <c r="B35" s="238"/>
      <c r="C35" s="66" t="s">
        <v>112</v>
      </c>
      <c r="D35" s="66"/>
      <c r="E35" s="116"/>
      <c r="F35" s="116"/>
      <c r="G35" s="116"/>
      <c r="H35" s="116"/>
      <c r="I35" s="9">
        <v>2</v>
      </c>
      <c r="J35" s="120"/>
      <c r="K35" s="14"/>
      <c r="L35" s="31"/>
      <c r="M35" s="32" t="s">
        <v>23</v>
      </c>
      <c r="N35" s="32"/>
      <c r="O35" s="32"/>
      <c r="P35" s="32"/>
      <c r="Q35" s="92">
        <f>R35/$I$8</f>
        <v>100</v>
      </c>
      <c r="R35" s="35">
        <f>(I33/30)*I34*I8</f>
        <v>10000</v>
      </c>
      <c r="S35" s="34"/>
      <c r="T35" s="14"/>
      <c r="V35" s="80"/>
      <c r="W35" s="209"/>
      <c r="X35" s="209"/>
      <c r="Y35" s="228">
        <f>Y33-Y34</f>
        <v>7365.5999999999985</v>
      </c>
      <c r="Z35" s="217"/>
    </row>
    <row r="36" spans="1:26" ht="15" customHeight="1" x14ac:dyDescent="0.3">
      <c r="A36" s="103"/>
      <c r="B36" s="238"/>
      <c r="C36" s="66" t="s">
        <v>113</v>
      </c>
      <c r="D36" s="66"/>
      <c r="E36" s="116"/>
      <c r="F36" s="116"/>
      <c r="G36" s="116"/>
      <c r="H36" s="116"/>
      <c r="I36" s="88">
        <v>-0.1</v>
      </c>
      <c r="J36" s="120"/>
      <c r="K36" s="14"/>
      <c r="L36" s="31"/>
      <c r="M36" s="32" t="s">
        <v>24</v>
      </c>
      <c r="N36" s="32"/>
      <c r="O36" s="32"/>
      <c r="P36" s="32"/>
      <c r="Q36" s="92">
        <f>R36/$I$8</f>
        <v>3</v>
      </c>
      <c r="R36" s="35">
        <f>I37</f>
        <v>300</v>
      </c>
      <c r="S36" s="34"/>
      <c r="T36" s="14"/>
      <c r="V36" s="208" t="s">
        <v>27</v>
      </c>
      <c r="W36" s="209"/>
      <c r="X36" s="47"/>
      <c r="Y36" s="48">
        <f>ROUNDUP(40000/(I9+R10),0)</f>
        <v>26</v>
      </c>
      <c r="Z36" s="217"/>
    </row>
    <row r="37" spans="1:26" ht="15" customHeight="1" x14ac:dyDescent="0.3">
      <c r="A37" s="14"/>
      <c r="B37" s="239"/>
      <c r="C37" s="67" t="s">
        <v>46</v>
      </c>
      <c r="D37" s="67"/>
      <c r="E37" s="121"/>
      <c r="F37" s="121"/>
      <c r="G37" s="121"/>
      <c r="H37" s="121"/>
      <c r="I37" s="11">
        <v>300</v>
      </c>
      <c r="J37" s="122"/>
      <c r="K37" s="14"/>
      <c r="L37" s="31"/>
      <c r="M37" s="245" t="s">
        <v>82</v>
      </c>
      <c r="N37" s="240"/>
      <c r="O37" s="240"/>
      <c r="P37" s="240"/>
      <c r="Q37" s="92">
        <f>R37/$I$8</f>
        <v>73.655999999999992</v>
      </c>
      <c r="R37" s="241">
        <f>Y35</f>
        <v>7365.5999999999985</v>
      </c>
      <c r="S37" s="34"/>
      <c r="T37" s="14"/>
      <c r="V37" s="208" t="s">
        <v>28</v>
      </c>
      <c r="W37" s="209"/>
      <c r="X37" s="47"/>
      <c r="Y37" s="48">
        <f>ROUNDUP(40000/I9,0)</f>
        <v>34</v>
      </c>
      <c r="Z37" s="217"/>
    </row>
    <row r="38" spans="1:26" ht="15" customHeight="1" thickBot="1" x14ac:dyDescent="0.35">
      <c r="A38" s="14"/>
      <c r="B38" s="29"/>
      <c r="C38" s="257" t="s">
        <v>121</v>
      </c>
      <c r="D38" s="258"/>
      <c r="E38" s="258"/>
      <c r="F38" s="258"/>
      <c r="G38" s="258"/>
      <c r="H38" s="258"/>
      <c r="I38" s="259">
        <f>X21</f>
        <v>510</v>
      </c>
      <c r="J38" s="30"/>
      <c r="K38" s="14"/>
      <c r="L38" s="31"/>
      <c r="M38" s="36" t="s">
        <v>25</v>
      </c>
      <c r="N38" s="36"/>
      <c r="O38" s="36"/>
      <c r="P38" s="36"/>
      <c r="Q38" s="93">
        <f t="shared" si="1"/>
        <v>4.0516666666666667</v>
      </c>
      <c r="R38" s="37">
        <f>(R33+R34+R35+R36)*((I15/360)*I34)</f>
        <v>405.16666666666669</v>
      </c>
      <c r="S38" s="34"/>
      <c r="T38" s="14"/>
      <c r="V38" s="208" t="s">
        <v>29</v>
      </c>
      <c r="W38" s="209"/>
      <c r="X38" s="47"/>
      <c r="Y38" s="49">
        <f>ROUNDUP(I8/Y36,0)</f>
        <v>4</v>
      </c>
      <c r="Z38" s="217"/>
    </row>
    <row r="39" spans="1:26" ht="15" customHeight="1" thickTop="1" x14ac:dyDescent="0.3">
      <c r="A39" s="14"/>
      <c r="B39" s="38"/>
      <c r="C39" s="260" t="s">
        <v>122</v>
      </c>
      <c r="D39" s="261"/>
      <c r="E39" s="261"/>
      <c r="F39" s="261"/>
      <c r="G39" s="261"/>
      <c r="H39" s="261"/>
      <c r="I39" s="262">
        <f>W21</f>
        <v>17</v>
      </c>
      <c r="J39" s="39"/>
      <c r="K39" s="14"/>
      <c r="L39" s="38"/>
      <c r="M39" s="203" t="s">
        <v>17</v>
      </c>
      <c r="N39" s="203"/>
      <c r="O39" s="203"/>
      <c r="P39" s="203"/>
      <c r="Q39" s="204">
        <f>SUM(Q33:Q38)</f>
        <v>264.70766666666668</v>
      </c>
      <c r="R39" s="205">
        <f>SUM(R33:R38)</f>
        <v>26470.766666666666</v>
      </c>
      <c r="S39" s="39"/>
      <c r="T39" s="14"/>
      <c r="V39" s="210" t="s">
        <v>30</v>
      </c>
      <c r="W39" s="211"/>
      <c r="X39" s="82"/>
      <c r="Y39" s="83">
        <f>ROUNDUP(I8/Y37,0)</f>
        <v>3</v>
      </c>
      <c r="Z39" s="229"/>
    </row>
    <row r="40" spans="1:26" ht="9.9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6" ht="15" customHeight="1" x14ac:dyDescent="0.3">
      <c r="A41" s="14"/>
      <c r="B41" s="14"/>
      <c r="C41" s="90" t="s">
        <v>123</v>
      </c>
      <c r="D41" s="90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6" ht="15" customHeight="1" x14ac:dyDescent="0.3">
      <c r="A42" s="14"/>
      <c r="B42" s="124"/>
      <c r="C42" s="76" t="s">
        <v>128</v>
      </c>
      <c r="D42" s="76"/>
      <c r="E42" s="76"/>
      <c r="F42" s="76"/>
      <c r="G42" s="76"/>
      <c r="H42" s="56"/>
      <c r="I42" s="12">
        <v>100</v>
      </c>
      <c r="J42" s="123"/>
      <c r="K42" s="14"/>
      <c r="L42" s="124"/>
      <c r="M42" s="56"/>
      <c r="N42" s="56"/>
      <c r="O42" s="56"/>
      <c r="P42" s="56"/>
      <c r="Q42" s="277" t="s">
        <v>8</v>
      </c>
      <c r="R42" s="277"/>
      <c r="S42" s="123"/>
      <c r="T42" s="14"/>
      <c r="V42" s="79" t="s">
        <v>91</v>
      </c>
      <c r="W42" s="207"/>
      <c r="X42" s="207"/>
      <c r="Y42" s="214">
        <f>(I8*R9)*R11*R14</f>
        <v>59400</v>
      </c>
    </row>
    <row r="43" spans="1:26" ht="15" customHeight="1" thickBot="1" x14ac:dyDescent="0.35">
      <c r="A43" s="14"/>
      <c r="B43" s="126"/>
      <c r="C43" s="78" t="s">
        <v>127</v>
      </c>
      <c r="D43" s="78"/>
      <c r="E43" s="77"/>
      <c r="F43" s="77"/>
      <c r="G43" s="77"/>
      <c r="H43" s="57"/>
      <c r="I43" s="12">
        <v>5000</v>
      </c>
      <c r="J43" s="125"/>
      <c r="K43" s="14"/>
      <c r="L43" s="126"/>
      <c r="M43" s="127"/>
      <c r="N43" s="127"/>
      <c r="O43" s="127"/>
      <c r="P43" s="127"/>
      <c r="Q43" s="128" t="s">
        <v>13</v>
      </c>
      <c r="R43" s="128" t="s">
        <v>14</v>
      </c>
      <c r="S43" s="125"/>
      <c r="T43" s="14"/>
      <c r="V43" s="81" t="s">
        <v>81</v>
      </c>
      <c r="W43" s="211"/>
      <c r="X43" s="211"/>
      <c r="Y43" s="215">
        <f>(I8*R8)*R10*R13</f>
        <v>51112.5</v>
      </c>
    </row>
    <row r="44" spans="1:26" ht="15" customHeight="1" x14ac:dyDescent="0.3">
      <c r="A44" s="14"/>
      <c r="B44" s="126"/>
      <c r="C44" s="78" t="s">
        <v>126</v>
      </c>
      <c r="D44" s="78"/>
      <c r="E44" s="77"/>
      <c r="F44" s="77"/>
      <c r="G44" s="77"/>
      <c r="H44" s="57"/>
      <c r="I44" s="12">
        <v>5000</v>
      </c>
      <c r="J44" s="125"/>
      <c r="K44" s="14"/>
      <c r="L44" s="40"/>
      <c r="M44" s="41" t="s">
        <v>34</v>
      </c>
      <c r="N44" s="41"/>
      <c r="O44" s="41"/>
      <c r="P44" s="41"/>
      <c r="Q44" s="44">
        <f>R44/I8</f>
        <v>82.875</v>
      </c>
      <c r="R44" s="246">
        <f>Y44</f>
        <v>8287.5</v>
      </c>
      <c r="S44" s="43"/>
      <c r="T44" s="14"/>
      <c r="V44" s="80"/>
      <c r="W44" s="209"/>
      <c r="X44" s="209"/>
      <c r="Y44" s="216">
        <f>Y42-Y43</f>
        <v>8287.5</v>
      </c>
    </row>
    <row r="45" spans="1:26" ht="15" customHeight="1" x14ac:dyDescent="0.3">
      <c r="A45" s="14"/>
      <c r="B45" s="126"/>
      <c r="C45" s="44" t="s">
        <v>96</v>
      </c>
      <c r="D45" s="44"/>
      <c r="E45" s="57"/>
      <c r="F45" s="57"/>
      <c r="G45" s="57"/>
      <c r="H45" s="57"/>
      <c r="I45" s="12">
        <v>20</v>
      </c>
      <c r="J45" s="125"/>
      <c r="K45" s="14"/>
      <c r="L45" s="126"/>
      <c r="M45" s="41" t="s">
        <v>95</v>
      </c>
      <c r="N45" s="41"/>
      <c r="O45" s="41"/>
      <c r="P45" s="41"/>
      <c r="Q45" s="44">
        <f>R45/I8</f>
        <v>100</v>
      </c>
      <c r="R45" s="42">
        <f>(I42*I8)</f>
        <v>10000</v>
      </c>
      <c r="S45" s="125"/>
      <c r="T45" s="14"/>
      <c r="V45" s="80"/>
      <c r="W45" s="209"/>
      <c r="X45" s="209"/>
      <c r="Y45" s="217"/>
    </row>
    <row r="46" spans="1:26" ht="15" customHeight="1" x14ac:dyDescent="0.3">
      <c r="A46" s="14"/>
      <c r="B46" s="202"/>
      <c r="C46" s="68" t="s">
        <v>47</v>
      </c>
      <c r="D46" s="68"/>
      <c r="E46" s="58"/>
      <c r="F46" s="58"/>
      <c r="G46" s="58"/>
      <c r="H46" s="58"/>
      <c r="I46" s="12">
        <v>1000</v>
      </c>
      <c r="J46" s="129"/>
      <c r="K46" s="14"/>
      <c r="L46" s="126"/>
      <c r="M46" s="41" t="s">
        <v>97</v>
      </c>
      <c r="N46" s="41"/>
      <c r="O46" s="41"/>
      <c r="P46" s="41"/>
      <c r="Q46" s="44">
        <f>R46/I8</f>
        <v>20</v>
      </c>
      <c r="R46" s="42">
        <f>I45*I8</f>
        <v>2000</v>
      </c>
      <c r="S46" s="125"/>
      <c r="T46" s="14"/>
      <c r="V46" s="80" t="s">
        <v>93</v>
      </c>
      <c r="W46" s="209"/>
      <c r="X46" s="209"/>
      <c r="Y46" s="216">
        <f>(I8*R9)*R11*R15</f>
        <v>56250</v>
      </c>
    </row>
    <row r="47" spans="1:26" ht="15" customHeight="1" thickBot="1" x14ac:dyDescent="0.35">
      <c r="A47" s="14"/>
      <c r="B47" s="124"/>
      <c r="C47" s="266" t="s">
        <v>116</v>
      </c>
      <c r="D47" s="266"/>
      <c r="E47" s="266"/>
      <c r="F47" s="266"/>
      <c r="G47" s="266"/>
      <c r="H47" s="266"/>
      <c r="I47" s="266"/>
      <c r="J47" s="123"/>
      <c r="K47" s="14"/>
      <c r="L47" s="126"/>
      <c r="M47" s="247" t="s">
        <v>115</v>
      </c>
      <c r="N47" s="247"/>
      <c r="O47" s="247"/>
      <c r="P47" s="247"/>
      <c r="Q47" s="45">
        <f>R47/I8</f>
        <v>-3.541666666666667</v>
      </c>
      <c r="R47" s="46">
        <f>-(Y48*X16*(I16/360))</f>
        <v>-354.16666666666669</v>
      </c>
      <c r="S47" s="125"/>
      <c r="T47" s="14"/>
      <c r="V47" s="80" t="s">
        <v>94</v>
      </c>
      <c r="W47" s="209"/>
      <c r="X47" s="209"/>
      <c r="Y47" s="216">
        <f>(I8*R9)*R11*R16</f>
        <v>54000</v>
      </c>
    </row>
    <row r="48" spans="1:26" ht="15" customHeight="1" thickTop="1" x14ac:dyDescent="0.3">
      <c r="A48" s="14"/>
      <c r="B48" s="126"/>
      <c r="C48" s="267"/>
      <c r="D48" s="267"/>
      <c r="E48" s="267"/>
      <c r="F48" s="267"/>
      <c r="G48" s="267"/>
      <c r="H48" s="267"/>
      <c r="I48" s="267"/>
      <c r="J48" s="125"/>
      <c r="K48" s="14"/>
      <c r="L48" s="126"/>
      <c r="M48" s="248" t="s">
        <v>99</v>
      </c>
      <c r="N48" s="248"/>
      <c r="O48" s="248"/>
      <c r="P48" s="248"/>
      <c r="Q48" s="249">
        <f>SUM(Q44:Q47)</f>
        <v>199.33333333333334</v>
      </c>
      <c r="R48" s="250">
        <f>SUM(R44:R47)</f>
        <v>19933.333333333332</v>
      </c>
      <c r="S48" s="125"/>
      <c r="T48" s="14"/>
      <c r="V48" s="80" t="s">
        <v>98</v>
      </c>
      <c r="W48" s="209"/>
      <c r="X48" s="209"/>
      <c r="Y48" s="216">
        <f>I8*I10</f>
        <v>85000</v>
      </c>
    </row>
    <row r="49" spans="1:25" ht="15" customHeight="1" x14ac:dyDescent="0.3">
      <c r="A49" s="14"/>
      <c r="B49" s="126"/>
      <c r="C49" s="267"/>
      <c r="D49" s="267"/>
      <c r="E49" s="267"/>
      <c r="F49" s="267"/>
      <c r="G49" s="267"/>
      <c r="H49" s="267"/>
      <c r="I49" s="267"/>
      <c r="J49" s="125"/>
      <c r="K49" s="14"/>
      <c r="L49" s="126"/>
      <c r="M49" s="41" t="s">
        <v>26</v>
      </c>
      <c r="N49" s="41"/>
      <c r="O49" s="41"/>
      <c r="P49" s="41"/>
      <c r="Q49" s="44">
        <f>R49/I8</f>
        <v>-722.5</v>
      </c>
      <c r="R49" s="42">
        <f>-((I8-I11)*I10)</f>
        <v>-72250</v>
      </c>
      <c r="S49" s="125"/>
      <c r="T49" s="14"/>
      <c r="V49" s="80"/>
      <c r="W49" s="209"/>
      <c r="X49" s="209"/>
      <c r="Y49" s="217"/>
    </row>
    <row r="50" spans="1:25" ht="15" customHeight="1" x14ac:dyDescent="0.3">
      <c r="A50" s="14"/>
      <c r="B50" s="126"/>
      <c r="C50" s="267"/>
      <c r="D50" s="267"/>
      <c r="E50" s="267"/>
      <c r="F50" s="267"/>
      <c r="G50" s="267"/>
      <c r="H50" s="267"/>
      <c r="I50" s="267"/>
      <c r="J50" s="125"/>
      <c r="K50" s="14"/>
      <c r="L50" s="126"/>
      <c r="M50" s="41" t="s">
        <v>108</v>
      </c>
      <c r="N50" s="41"/>
      <c r="O50" s="41"/>
      <c r="P50" s="41"/>
      <c r="Q50" s="44">
        <f>R50/I8</f>
        <v>-25.013574218750001</v>
      </c>
      <c r="R50" s="42">
        <f>-(Y51+Y52+Y53)</f>
        <v>-2501.357421875</v>
      </c>
      <c r="S50" s="125"/>
      <c r="T50" s="14"/>
      <c r="V50" s="218" t="s">
        <v>100</v>
      </c>
      <c r="W50" s="219"/>
      <c r="X50" s="209"/>
      <c r="Y50" s="220">
        <f>Y48</f>
        <v>85000</v>
      </c>
    </row>
    <row r="51" spans="1:25" ht="15" customHeight="1" x14ac:dyDescent="0.3">
      <c r="A51" s="14"/>
      <c r="B51" s="202"/>
      <c r="C51" s="268"/>
      <c r="D51" s="268"/>
      <c r="E51" s="268"/>
      <c r="F51" s="268"/>
      <c r="G51" s="268"/>
      <c r="H51" s="268"/>
      <c r="I51" s="268"/>
      <c r="J51" s="129"/>
      <c r="K51" s="14"/>
      <c r="L51" s="126"/>
      <c r="M51" s="41" t="s">
        <v>107</v>
      </c>
      <c r="N51" s="41"/>
      <c r="O51" s="41"/>
      <c r="P51" s="41"/>
      <c r="Q51" s="44">
        <f>R51/I8</f>
        <v>1102.5</v>
      </c>
      <c r="R51" s="42">
        <f>Y46+Y47</f>
        <v>110250</v>
      </c>
      <c r="S51" s="125"/>
      <c r="T51" s="14"/>
      <c r="V51" s="221" t="s">
        <v>101</v>
      </c>
      <c r="W51" s="222"/>
      <c r="X51" s="209"/>
      <c r="Y51" s="220">
        <f>Y50*X16*(I16/360)</f>
        <v>354.16666666666669</v>
      </c>
    </row>
    <row r="52" spans="1:25" ht="15" customHeight="1" x14ac:dyDescent="0.3">
      <c r="A52" s="14"/>
      <c r="B52" s="14"/>
      <c r="C52" s="254"/>
      <c r="D52" s="254"/>
      <c r="E52" s="254"/>
      <c r="F52" s="254"/>
      <c r="G52" s="254"/>
      <c r="H52" s="254"/>
      <c r="I52" s="254"/>
      <c r="J52" s="14"/>
      <c r="K52" s="14"/>
      <c r="L52" s="126"/>
      <c r="M52" s="41" t="s">
        <v>106</v>
      </c>
      <c r="N52" s="41"/>
      <c r="O52" s="41"/>
      <c r="P52" s="41"/>
      <c r="Q52" s="44">
        <f>R52/I8</f>
        <v>-900</v>
      </c>
      <c r="R52" s="42">
        <f>-((2*(I8*I12))-(I43+I44))</f>
        <v>-90000</v>
      </c>
      <c r="S52" s="125"/>
      <c r="T52" s="14"/>
      <c r="V52" s="221" t="s">
        <v>102</v>
      </c>
      <c r="W52" s="209"/>
      <c r="X52" s="209"/>
      <c r="Y52" s="220">
        <f>(Y50+Y51)*I16</f>
        <v>1066.9270833333335</v>
      </c>
    </row>
    <row r="53" spans="1:25" ht="15" customHeight="1" thickBot="1" x14ac:dyDescent="0.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26"/>
      <c r="M53" s="247" t="s">
        <v>104</v>
      </c>
      <c r="N53" s="247"/>
      <c r="O53" s="247"/>
      <c r="P53" s="247"/>
      <c r="Q53" s="45">
        <f>R53/I8</f>
        <v>1000</v>
      </c>
      <c r="R53" s="46">
        <f>I46*I8</f>
        <v>100000</v>
      </c>
      <c r="S53" s="125"/>
      <c r="T53" s="14"/>
      <c r="V53" s="223" t="s">
        <v>103</v>
      </c>
      <c r="W53" s="211"/>
      <c r="X53" s="211"/>
      <c r="Y53" s="224">
        <f>(Y50+Y51+Y52)*I16</f>
        <v>1080.263671875</v>
      </c>
    </row>
    <row r="54" spans="1:25" ht="15" customHeight="1" thickTop="1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26"/>
      <c r="M54" s="41" t="s">
        <v>105</v>
      </c>
      <c r="N54" s="41"/>
      <c r="O54" s="41"/>
      <c r="P54" s="41"/>
      <c r="Q54" s="44">
        <f>SUM(Q49:Q53)</f>
        <v>454.98642578124998</v>
      </c>
      <c r="R54" s="42">
        <f>SUM(R49:R53)</f>
        <v>45498.642578125</v>
      </c>
      <c r="S54" s="125"/>
      <c r="T54" s="14"/>
    </row>
    <row r="55" spans="1:25" ht="15" customHeight="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202"/>
      <c r="M55" s="251" t="s">
        <v>109</v>
      </c>
      <c r="N55" s="251"/>
      <c r="O55" s="251"/>
      <c r="P55" s="251"/>
      <c r="Q55" s="252">
        <f>Q48+Q54</f>
        <v>654.31975911458335</v>
      </c>
      <c r="R55" s="253">
        <f>R48+R54</f>
        <v>65431.975911458328</v>
      </c>
      <c r="S55" s="129"/>
      <c r="T55" s="14"/>
    </row>
    <row r="56" spans="1:25" ht="15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9"/>
      <c r="M56" s="19"/>
      <c r="N56" s="19"/>
      <c r="O56" s="19"/>
      <c r="P56" s="19"/>
      <c r="Q56" s="19"/>
      <c r="R56" s="19"/>
      <c r="S56" s="19"/>
      <c r="T56" s="14"/>
    </row>
    <row r="57" spans="1:25" ht="15" customHeight="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72" t="s">
        <v>35</v>
      </c>
      <c r="Q57" s="272"/>
      <c r="R57" s="272"/>
      <c r="S57" s="14"/>
      <c r="T57" s="14"/>
    </row>
    <row r="58" spans="1:25" ht="15" customHeight="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278" t="s">
        <v>61</v>
      </c>
      <c r="M58" s="278"/>
      <c r="N58" s="201" t="s">
        <v>36</v>
      </c>
      <c r="O58" s="201" t="s">
        <v>38</v>
      </c>
      <c r="P58" s="130"/>
      <c r="Q58" s="199" t="s">
        <v>74</v>
      </c>
      <c r="R58" s="199" t="s">
        <v>75</v>
      </c>
      <c r="S58" s="14"/>
      <c r="T58" s="14"/>
    </row>
    <row r="59" spans="1:25" ht="15" customHeight="1" thickBot="1" x14ac:dyDescent="0.3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273" t="s">
        <v>62</v>
      </c>
      <c r="L59" s="274"/>
      <c r="M59" s="274"/>
      <c r="N59" s="200" t="s">
        <v>37</v>
      </c>
      <c r="O59" s="200" t="s">
        <v>39</v>
      </c>
      <c r="P59" s="131"/>
      <c r="Q59" s="189">
        <v>41639</v>
      </c>
      <c r="R59" s="200" t="s">
        <v>74</v>
      </c>
      <c r="S59" s="14"/>
      <c r="T59" s="14"/>
    </row>
    <row r="60" spans="1:25" ht="15" thickBot="1" x14ac:dyDescent="0.3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31"/>
      <c r="L60" s="14"/>
      <c r="M60" s="103"/>
      <c r="N60" s="103"/>
      <c r="O60" s="103"/>
      <c r="P60" s="14"/>
      <c r="Q60" s="103"/>
      <c r="R60" s="103"/>
      <c r="S60" s="14"/>
      <c r="T60" s="14"/>
    </row>
    <row r="61" spans="1:25" ht="15" thickBot="1" x14ac:dyDescent="0.35">
      <c r="A61" s="14"/>
      <c r="B61" s="14"/>
      <c r="C61" s="19"/>
      <c r="D61" s="132"/>
      <c r="E61" s="133" t="s">
        <v>42</v>
      </c>
      <c r="F61" s="134"/>
      <c r="G61" s="134"/>
      <c r="H61" s="134"/>
      <c r="I61" s="134"/>
      <c r="J61" s="134"/>
      <c r="K61" s="135"/>
      <c r="L61" s="19"/>
      <c r="M61" s="136"/>
      <c r="N61" s="137"/>
      <c r="O61" s="137"/>
      <c r="P61" s="19"/>
      <c r="Q61" s="137"/>
      <c r="R61" s="137"/>
      <c r="S61" s="19"/>
      <c r="T61" s="14"/>
    </row>
    <row r="62" spans="1:25" ht="14.4" x14ac:dyDescent="0.3">
      <c r="A62" s="14"/>
      <c r="B62" s="14"/>
      <c r="C62" s="19"/>
      <c r="D62" s="138"/>
      <c r="E62" s="139" t="s">
        <v>1</v>
      </c>
      <c r="F62" s="140"/>
      <c r="G62" s="140"/>
      <c r="H62" s="140"/>
      <c r="I62" s="140"/>
      <c r="J62" s="140"/>
      <c r="K62" s="140"/>
      <c r="L62" s="134"/>
      <c r="M62" s="141">
        <f>$I$8*$I$10</f>
        <v>85000</v>
      </c>
      <c r="N62" s="141">
        <f>$I$8*$I$10</f>
        <v>85000</v>
      </c>
      <c r="O62" s="141">
        <f t="shared" ref="O62:R62" si="2">$I$8*$I$10</f>
        <v>85000</v>
      </c>
      <c r="P62" s="134"/>
      <c r="Q62" s="141">
        <f t="shared" si="2"/>
        <v>85000</v>
      </c>
      <c r="R62" s="141">
        <f t="shared" si="2"/>
        <v>85000</v>
      </c>
      <c r="S62" s="135"/>
      <c r="T62" s="19"/>
    </row>
    <row r="63" spans="1:25" ht="14.4" x14ac:dyDescent="0.3">
      <c r="A63" s="14"/>
      <c r="B63" s="14"/>
      <c r="C63" s="19"/>
      <c r="D63" s="138"/>
      <c r="E63" s="139" t="s">
        <v>3</v>
      </c>
      <c r="F63" s="140"/>
      <c r="G63" s="140"/>
      <c r="H63" s="140"/>
      <c r="I63" s="140"/>
      <c r="J63" s="140"/>
      <c r="K63" s="140"/>
      <c r="L63" s="140"/>
      <c r="M63" s="142">
        <f t="shared" ref="M63:R63" si="3">$R$9*$R$10*$R$13</f>
        <v>407.8125</v>
      </c>
      <c r="N63" s="142">
        <f t="shared" si="3"/>
        <v>407.8125</v>
      </c>
      <c r="O63" s="142">
        <f t="shared" si="3"/>
        <v>407.8125</v>
      </c>
      <c r="P63" s="142">
        <f t="shared" si="3"/>
        <v>407.8125</v>
      </c>
      <c r="Q63" s="142">
        <f t="shared" si="3"/>
        <v>407.8125</v>
      </c>
      <c r="R63" s="142">
        <f t="shared" si="3"/>
        <v>407.8125</v>
      </c>
      <c r="S63" s="143"/>
      <c r="T63" s="19"/>
    </row>
    <row r="64" spans="1:25" ht="14.4" x14ac:dyDescent="0.3">
      <c r="A64" s="14"/>
      <c r="B64" s="14"/>
      <c r="C64" s="19"/>
      <c r="D64" s="138"/>
      <c r="E64" s="139" t="s">
        <v>55</v>
      </c>
      <c r="F64" s="140"/>
      <c r="G64" s="140"/>
      <c r="H64" s="140"/>
      <c r="I64" s="140"/>
      <c r="J64" s="140"/>
      <c r="K64" s="140"/>
      <c r="L64" s="140"/>
      <c r="M64" s="142">
        <f>-(($I$8*$I$12)-($I$8*$I$42))</f>
        <v>-40000</v>
      </c>
      <c r="N64" s="142">
        <f>-(($I$8*$I$12)-($I$8*$I$42))</f>
        <v>-40000</v>
      </c>
      <c r="O64" s="142">
        <f>-(($I$8*$I$12)-($I$8*$I$42))</f>
        <v>-40000</v>
      </c>
      <c r="P64" s="140"/>
      <c r="Q64" s="142">
        <f>-(($I$8*$I$12)-($I$8*$I$42))</f>
        <v>-40000</v>
      </c>
      <c r="R64" s="142">
        <f>-(($I$8*$I$12)-($I$8*$I$42))</f>
        <v>-40000</v>
      </c>
      <c r="S64" s="143"/>
      <c r="T64" s="19"/>
    </row>
    <row r="65" spans="1:20" ht="15" thickBot="1" x14ac:dyDescent="0.35">
      <c r="A65" s="14"/>
      <c r="B65" s="14"/>
      <c r="C65" s="106"/>
      <c r="D65" s="144"/>
      <c r="E65" s="145" t="s">
        <v>17</v>
      </c>
      <c r="F65" s="99"/>
      <c r="G65" s="99"/>
      <c r="H65" s="99"/>
      <c r="I65" s="146"/>
      <c r="J65" s="146"/>
      <c r="K65" s="146"/>
      <c r="L65" s="146"/>
      <c r="M65" s="147">
        <f>SUM(M62:M64)</f>
        <v>45407.8125</v>
      </c>
      <c r="N65" s="147">
        <f>SUM(N62:N64)</f>
        <v>45407.8125</v>
      </c>
      <c r="O65" s="147">
        <f>SUM(O62:O64)</f>
        <v>45407.8125</v>
      </c>
      <c r="P65" s="146"/>
      <c r="Q65" s="147">
        <f>SUM(Q62:Q64)</f>
        <v>45407.8125</v>
      </c>
      <c r="R65" s="147">
        <f>SUM(R62:R64)</f>
        <v>45407.8125</v>
      </c>
      <c r="S65" s="148"/>
      <c r="T65" s="19"/>
    </row>
    <row r="66" spans="1:20" ht="9.9" customHeight="1" x14ac:dyDescent="0.3">
      <c r="A66" s="14"/>
      <c r="B66" s="14"/>
      <c r="C66" s="19"/>
      <c r="D66" s="19"/>
      <c r="E66" s="103"/>
      <c r="F66" s="14"/>
      <c r="G66" s="14"/>
      <c r="H66" s="14"/>
      <c r="I66" s="14"/>
      <c r="J66" s="14"/>
      <c r="K66" s="14"/>
      <c r="L66" s="14"/>
      <c r="M66" s="103"/>
      <c r="N66" s="103"/>
      <c r="O66" s="103"/>
      <c r="P66" s="14"/>
      <c r="Q66" s="103"/>
      <c r="R66" s="103"/>
      <c r="S66" s="19"/>
      <c r="T66" s="19"/>
    </row>
    <row r="67" spans="1:20" ht="14.4" x14ac:dyDescent="0.3">
      <c r="A67" s="14"/>
      <c r="B67" s="14"/>
      <c r="C67" s="19"/>
      <c r="D67" s="19"/>
      <c r="E67" s="196">
        <f>I21</f>
        <v>2011</v>
      </c>
      <c r="F67" s="14"/>
      <c r="G67" s="14"/>
      <c r="H67" s="14"/>
      <c r="I67" s="14"/>
      <c r="J67" s="14"/>
      <c r="K67" s="14"/>
      <c r="L67" s="14"/>
      <c r="M67" s="149"/>
      <c r="N67" s="103"/>
      <c r="O67" s="103"/>
      <c r="P67" s="14"/>
      <c r="Q67" s="103"/>
      <c r="R67" s="103"/>
      <c r="S67" s="19"/>
      <c r="T67" s="19"/>
    </row>
    <row r="68" spans="1:20" ht="14.4" x14ac:dyDescent="0.3">
      <c r="A68" s="14"/>
      <c r="B68" s="14"/>
      <c r="C68" s="19"/>
      <c r="D68" s="19"/>
      <c r="E68" s="18" t="s">
        <v>56</v>
      </c>
      <c r="F68" s="14"/>
      <c r="G68" s="14"/>
      <c r="H68" s="14"/>
      <c r="I68" s="14"/>
      <c r="J68" s="14"/>
      <c r="K68" s="14"/>
      <c r="L68" s="14"/>
      <c r="M68" s="150">
        <f>($I$8*$R$9)*$R$11*$R$14</f>
        <v>59400</v>
      </c>
      <c r="N68" s="151">
        <f>($I$8*$R$9)*$R$11*$R$14</f>
        <v>59400</v>
      </c>
      <c r="O68" s="151">
        <f>IF(E67&lt;$R$19,(($I$8*$R$9)-$I$35)*($R$11*(1+$I$36))*$R$14,($I$8*$R$9)*$R$11*$R$14)</f>
        <v>52034.400000000001</v>
      </c>
      <c r="P68" s="14"/>
      <c r="Q68" s="151">
        <f>Y43</f>
        <v>51112.5</v>
      </c>
      <c r="R68" s="151">
        <f>Y43</f>
        <v>51112.5</v>
      </c>
      <c r="S68" s="19"/>
      <c r="T68" s="19"/>
    </row>
    <row r="69" spans="1:20" ht="14.4" x14ac:dyDescent="0.3">
      <c r="A69" s="14"/>
      <c r="B69" s="14"/>
      <c r="C69" s="19"/>
      <c r="D69" s="19"/>
      <c r="E69" s="152" t="s">
        <v>60</v>
      </c>
      <c r="F69" s="153"/>
      <c r="G69" s="153"/>
      <c r="H69" s="153"/>
      <c r="I69" s="153"/>
      <c r="J69" s="153"/>
      <c r="K69" s="153"/>
      <c r="L69" s="153"/>
      <c r="M69" s="154">
        <f>-I12*I8</f>
        <v>-50000</v>
      </c>
      <c r="N69" s="155">
        <f>-((I8*I12)+(X16*I28*I8))</f>
        <v>-81680</v>
      </c>
      <c r="O69" s="155">
        <f>-((I8*I12)+R39)</f>
        <v>-76470.766666666663</v>
      </c>
      <c r="P69" s="153"/>
      <c r="Q69" s="155">
        <f>-(I8*(I12-I42))</f>
        <v>-40000</v>
      </c>
      <c r="R69" s="155">
        <f>-(I8*(I12-I42))</f>
        <v>-40000</v>
      </c>
      <c r="S69" s="19"/>
      <c r="T69" s="19"/>
    </row>
    <row r="70" spans="1:20" ht="14.4" x14ac:dyDescent="0.3">
      <c r="A70" s="14"/>
      <c r="B70" s="14"/>
      <c r="C70" s="19"/>
      <c r="D70" s="19"/>
      <c r="E70" s="18" t="s">
        <v>57</v>
      </c>
      <c r="F70" s="14"/>
      <c r="G70" s="14"/>
      <c r="H70" s="14"/>
      <c r="I70" s="14"/>
      <c r="J70" s="14"/>
      <c r="K70" s="14"/>
      <c r="L70" s="14"/>
      <c r="M70" s="151">
        <f>SUM(M68:M69)</f>
        <v>9400</v>
      </c>
      <c r="N70" s="151">
        <f>SUM(N68:N69)</f>
        <v>-22280</v>
      </c>
      <c r="O70" s="151">
        <f>SUM(O68:O69)</f>
        <v>-24436.366666666661</v>
      </c>
      <c r="P70" s="14"/>
      <c r="Q70" s="151">
        <f>SUM(Q68:Q69)</f>
        <v>11112.5</v>
      </c>
      <c r="R70" s="151">
        <f>SUM(R68:R69)</f>
        <v>11112.5</v>
      </c>
      <c r="S70" s="19"/>
      <c r="T70" s="19"/>
    </row>
    <row r="71" spans="1:20" ht="14.4" x14ac:dyDescent="0.3">
      <c r="A71" s="14"/>
      <c r="B71" s="14"/>
      <c r="C71" s="19"/>
      <c r="D71" s="19"/>
      <c r="E71" s="152" t="s">
        <v>40</v>
      </c>
      <c r="F71" s="153"/>
      <c r="G71" s="153"/>
      <c r="H71" s="153"/>
      <c r="I71" s="153"/>
      <c r="J71" s="153"/>
      <c r="K71" s="153"/>
      <c r="L71" s="153"/>
      <c r="M71" s="156">
        <f>IF(M70&gt;0,M70*(0.124+0.15+0.04),0)</f>
        <v>2951.6</v>
      </c>
      <c r="N71" s="156">
        <f>IF(N70&gt;0,N70*(0.124+0.15+0.04),0)</f>
        <v>0</v>
      </c>
      <c r="O71" s="156">
        <f>IF(O70&gt;0,O70*(0.124+0.15+0.04),0)</f>
        <v>0</v>
      </c>
      <c r="P71" s="153"/>
      <c r="Q71" s="156">
        <f>IF(Q70&gt;0,Q70*(0.124+0.15+0.04),0)</f>
        <v>3489.3249999999998</v>
      </c>
      <c r="R71" s="156">
        <f>IF(R70&gt;0,R70*(0.124+0.15+0.04),0)</f>
        <v>3489.3249999999998</v>
      </c>
      <c r="S71" s="19"/>
      <c r="T71" s="19"/>
    </row>
    <row r="72" spans="1:20" ht="14.4" x14ac:dyDescent="0.3">
      <c r="A72" s="14"/>
      <c r="B72" s="14"/>
      <c r="C72" s="19"/>
      <c r="D72" s="19"/>
      <c r="E72" s="157" t="s">
        <v>41</v>
      </c>
      <c r="F72" s="14"/>
      <c r="G72" s="14"/>
      <c r="H72" s="14"/>
      <c r="I72" s="14"/>
      <c r="J72" s="14"/>
      <c r="K72" s="14"/>
      <c r="L72" s="14"/>
      <c r="M72" s="158">
        <f>M70-M71</f>
        <v>6448.4</v>
      </c>
      <c r="N72" s="158">
        <f t="shared" ref="N72:O72" si="4">N70-N71</f>
        <v>-22280</v>
      </c>
      <c r="O72" s="158">
        <f t="shared" si="4"/>
        <v>-24436.366666666661</v>
      </c>
      <c r="P72" s="14"/>
      <c r="Q72" s="158">
        <f>Q70-Q71</f>
        <v>7623.1750000000002</v>
      </c>
      <c r="R72" s="158">
        <f>R70-R71</f>
        <v>7623.1750000000002</v>
      </c>
      <c r="S72" s="19"/>
      <c r="T72" s="19"/>
    </row>
    <row r="73" spans="1:20" ht="14.4" x14ac:dyDescent="0.3">
      <c r="A73" s="14"/>
      <c r="B73" s="14"/>
      <c r="C73" s="19"/>
      <c r="D73" s="19"/>
      <c r="E73" s="159" t="s">
        <v>58</v>
      </c>
      <c r="F73" s="14"/>
      <c r="G73" s="14"/>
      <c r="H73" s="14"/>
      <c r="I73" s="14"/>
      <c r="J73" s="14"/>
      <c r="K73" s="14"/>
      <c r="L73" s="14"/>
      <c r="M73" s="160">
        <v>0</v>
      </c>
      <c r="N73" s="161">
        <v>0</v>
      </c>
      <c r="O73" s="161">
        <v>0</v>
      </c>
      <c r="P73" s="14"/>
      <c r="Q73" s="161">
        <f>I8*I10</f>
        <v>85000</v>
      </c>
      <c r="R73" s="161">
        <f>I8*I10</f>
        <v>85000</v>
      </c>
      <c r="S73" s="19"/>
      <c r="T73" s="19"/>
    </row>
    <row r="74" spans="1:20" ht="15" thickBot="1" x14ac:dyDescent="0.35">
      <c r="A74" s="14"/>
      <c r="B74" s="14"/>
      <c r="C74" s="19"/>
      <c r="D74" s="19"/>
      <c r="E74" s="162" t="s">
        <v>44</v>
      </c>
      <c r="F74" s="14"/>
      <c r="G74" s="14"/>
      <c r="H74" s="14"/>
      <c r="I74" s="14"/>
      <c r="J74" s="14"/>
      <c r="K74" s="14"/>
      <c r="L74" s="14"/>
      <c r="M74" s="160">
        <v>0</v>
      </c>
      <c r="N74" s="161">
        <v>0</v>
      </c>
      <c r="O74" s="51">
        <v>0</v>
      </c>
      <c r="P74" s="14"/>
      <c r="Q74" s="161">
        <v>0</v>
      </c>
      <c r="R74" s="161">
        <f>(I8*(I10-I17))*0.15</f>
        <v>12750</v>
      </c>
      <c r="S74" s="19"/>
      <c r="T74" s="19"/>
    </row>
    <row r="75" spans="1:20" ht="15" thickBot="1" x14ac:dyDescent="0.35">
      <c r="A75" s="14"/>
      <c r="B75" s="14"/>
      <c r="C75" s="19"/>
      <c r="D75" s="132"/>
      <c r="E75" s="133" t="s">
        <v>77</v>
      </c>
      <c r="F75" s="134"/>
      <c r="G75" s="134"/>
      <c r="H75" s="134"/>
      <c r="I75" s="134"/>
      <c r="J75" s="134"/>
      <c r="K75" s="135"/>
      <c r="L75" s="19"/>
      <c r="M75" s="163"/>
      <c r="N75" s="164"/>
      <c r="O75" s="106"/>
      <c r="P75" s="19"/>
      <c r="Q75" s="164"/>
      <c r="R75" s="164"/>
      <c r="S75" s="19"/>
      <c r="T75" s="19"/>
    </row>
    <row r="76" spans="1:20" ht="14.4" x14ac:dyDescent="0.3">
      <c r="A76" s="14"/>
      <c r="B76" s="14"/>
      <c r="C76" s="19"/>
      <c r="D76" s="138"/>
      <c r="E76" s="165" t="s">
        <v>1</v>
      </c>
      <c r="F76" s="140"/>
      <c r="G76" s="140"/>
      <c r="H76" s="140"/>
      <c r="I76" s="140"/>
      <c r="J76" s="140"/>
      <c r="K76" s="140"/>
      <c r="L76" s="134"/>
      <c r="M76" s="141">
        <f>M62-M73</f>
        <v>85000</v>
      </c>
      <c r="N76" s="141">
        <f>N62-N73</f>
        <v>85000</v>
      </c>
      <c r="O76" s="141">
        <f>O62-O73</f>
        <v>85000</v>
      </c>
      <c r="P76" s="134"/>
      <c r="Q76" s="141">
        <f>Q62-Q73</f>
        <v>0</v>
      </c>
      <c r="R76" s="141">
        <f>R62-R73</f>
        <v>0</v>
      </c>
      <c r="S76" s="135"/>
      <c r="T76" s="19"/>
    </row>
    <row r="77" spans="1:20" ht="14.4" x14ac:dyDescent="0.3">
      <c r="A77" s="14"/>
      <c r="B77" s="14"/>
      <c r="C77" s="19"/>
      <c r="D77" s="138"/>
      <c r="E77" s="166" t="s">
        <v>55</v>
      </c>
      <c r="F77" s="140"/>
      <c r="G77" s="140"/>
      <c r="H77" s="140"/>
      <c r="I77" s="140"/>
      <c r="J77" s="140"/>
      <c r="K77" s="140"/>
      <c r="L77" s="140"/>
      <c r="M77" s="142">
        <f>M72+M73-M74</f>
        <v>6448.4</v>
      </c>
      <c r="N77" s="142">
        <f>N72+N73-N74</f>
        <v>-22280</v>
      </c>
      <c r="O77" s="142">
        <f>O72+O73-O74</f>
        <v>-24436.366666666661</v>
      </c>
      <c r="P77" s="140"/>
      <c r="Q77" s="142">
        <f>Q72+Q73-Q74</f>
        <v>92623.175000000003</v>
      </c>
      <c r="R77" s="142">
        <f>R72+R73-R74</f>
        <v>79873.175000000003</v>
      </c>
      <c r="S77" s="143"/>
      <c r="T77" s="19"/>
    </row>
    <row r="78" spans="1:20" ht="15" thickBot="1" x14ac:dyDescent="0.35">
      <c r="A78" s="14"/>
      <c r="B78" s="14"/>
      <c r="C78" s="19"/>
      <c r="D78" s="167"/>
      <c r="E78" s="145" t="s">
        <v>17</v>
      </c>
      <c r="F78" s="146"/>
      <c r="G78" s="146"/>
      <c r="H78" s="146"/>
      <c r="I78" s="146"/>
      <c r="J78" s="146"/>
      <c r="K78" s="146"/>
      <c r="L78" s="146"/>
      <c r="M78" s="147">
        <f>SUM(M76:M77)</f>
        <v>91448.4</v>
      </c>
      <c r="N78" s="147">
        <f>SUM(N76:N77)</f>
        <v>62720</v>
      </c>
      <c r="O78" s="147">
        <f t="shared" ref="O78" si="5">SUM(O76:O77)</f>
        <v>60563.633333333339</v>
      </c>
      <c r="P78" s="146"/>
      <c r="Q78" s="147">
        <f>SUM(Q76:Q77)</f>
        <v>92623.175000000003</v>
      </c>
      <c r="R78" s="147">
        <f>SUM(R76:R77)</f>
        <v>79873.175000000003</v>
      </c>
      <c r="S78" s="148"/>
      <c r="T78" s="19"/>
    </row>
    <row r="79" spans="1:20" ht="9.9" customHeight="1" x14ac:dyDescent="0.3">
      <c r="A79" s="14"/>
      <c r="B79" s="14"/>
      <c r="C79" s="19"/>
      <c r="D79" s="19"/>
      <c r="E79" s="103"/>
      <c r="F79" s="14"/>
      <c r="G79" s="14"/>
      <c r="H79" s="14"/>
      <c r="I79" s="14"/>
      <c r="J79" s="14"/>
      <c r="K79" s="14"/>
      <c r="L79" s="14"/>
      <c r="M79" s="103"/>
      <c r="N79" s="103"/>
      <c r="O79" s="103"/>
      <c r="P79" s="14"/>
      <c r="Q79" s="103"/>
      <c r="R79" s="103"/>
      <c r="S79" s="19"/>
      <c r="T79" s="19"/>
    </row>
    <row r="80" spans="1:20" ht="14.4" x14ac:dyDescent="0.3">
      <c r="A80" s="14"/>
      <c r="B80" s="14"/>
      <c r="C80" s="19"/>
      <c r="D80" s="19"/>
      <c r="E80" s="196">
        <f>E67+1</f>
        <v>2012</v>
      </c>
      <c r="F80" s="14"/>
      <c r="G80" s="14"/>
      <c r="H80" s="14"/>
      <c r="I80" s="14"/>
      <c r="J80" s="14"/>
      <c r="K80" s="14"/>
      <c r="L80" s="14"/>
      <c r="M80" s="103"/>
      <c r="N80" s="103"/>
      <c r="O80" s="103"/>
      <c r="P80" s="14"/>
      <c r="Q80" s="103"/>
      <c r="R80" s="103"/>
      <c r="S80" s="19"/>
      <c r="T80" s="19"/>
    </row>
    <row r="81" spans="1:26" ht="14.4" x14ac:dyDescent="0.3">
      <c r="A81" s="14"/>
      <c r="B81" s="14"/>
      <c r="C81" s="19"/>
      <c r="D81" s="19"/>
      <c r="E81" s="159" t="s">
        <v>56</v>
      </c>
      <c r="F81" s="14"/>
      <c r="G81" s="14"/>
      <c r="H81" s="14"/>
      <c r="I81" s="14"/>
      <c r="J81" s="14"/>
      <c r="K81" s="14"/>
      <c r="L81" s="14"/>
      <c r="M81" s="151">
        <f>($I$8*$R$9)*$R$11*$R$15</f>
        <v>56250</v>
      </c>
      <c r="N81" s="151">
        <f>($I$8*$R$9)*$R$11*$R$15</f>
        <v>56250</v>
      </c>
      <c r="O81" s="151">
        <f>IF(E80&lt;$R$19,(($I$8*$R$9)-$I$35)*($R$11*(1+$I$36))*$R$15,($I$8*$R$9)*$R$11*$R$15)</f>
        <v>49275</v>
      </c>
      <c r="P81" s="14"/>
      <c r="Q81" s="151">
        <f>IF(E80&gt;$R$19,($E$8*$R$9)*$R$11*$R$15,0)</f>
        <v>0</v>
      </c>
      <c r="R81" s="151">
        <v>0</v>
      </c>
      <c r="S81" s="19"/>
      <c r="T81" s="19"/>
    </row>
    <row r="82" spans="1:26" ht="14.4" x14ac:dyDescent="0.3">
      <c r="A82" s="14"/>
      <c r="B82" s="14"/>
      <c r="C82" s="19"/>
      <c r="D82" s="19"/>
      <c r="E82" s="18" t="s">
        <v>67</v>
      </c>
      <c r="F82" s="14"/>
      <c r="G82" s="14"/>
      <c r="H82" s="14"/>
      <c r="I82" s="14"/>
      <c r="J82" s="14"/>
      <c r="K82" s="14"/>
      <c r="L82" s="14"/>
      <c r="M82" s="151">
        <f>-($I$8*$I$12)</f>
        <v>-50000</v>
      </c>
      <c r="N82" s="197">
        <f>IF($X17&gt;0,-(($I$8*$I$12)+($X$17*$I$28*$I$8)),-($I$8*$I$12))</f>
        <v>-145040</v>
      </c>
      <c r="O82" s="197">
        <f>-(IF($X$17&gt;0,(($I$8*$I$12)+($W$17*$I$33*$I$8)),($I$8*$I$12)))</f>
        <v>-80000</v>
      </c>
      <c r="P82" s="14"/>
      <c r="Q82" s="151">
        <f>IF(Q81=0,-$I$43,-$I$8*$I$12)</f>
        <v>-5000</v>
      </c>
      <c r="R82" s="151">
        <f>-$I$43</f>
        <v>-5000</v>
      </c>
      <c r="S82" s="19"/>
      <c r="T82" s="19"/>
      <c r="V82" s="265" t="s">
        <v>111</v>
      </c>
      <c r="W82" s="265"/>
      <c r="X82" s="265"/>
      <c r="Y82" s="265"/>
      <c r="Z82" s="265"/>
    </row>
    <row r="83" spans="1:26" ht="14.4" x14ac:dyDescent="0.3">
      <c r="A83" s="14"/>
      <c r="B83" s="14"/>
      <c r="C83" s="19"/>
      <c r="D83" s="19"/>
      <c r="E83" s="152" t="s">
        <v>71</v>
      </c>
      <c r="F83" s="153"/>
      <c r="G83" s="153"/>
      <c r="H83" s="153"/>
      <c r="I83" s="153"/>
      <c r="J83" s="153"/>
      <c r="K83" s="153"/>
      <c r="L83" s="153"/>
      <c r="M83" s="155">
        <f>IF(M77&gt;0,M77*$I$16,M77*$I$15)</f>
        <v>80.605000000000004</v>
      </c>
      <c r="N83" s="155">
        <f>IF(N77&gt;0,N77*$I$16,N77*$I$15)</f>
        <v>-1448.2</v>
      </c>
      <c r="O83" s="155">
        <f>IF(O77&gt;0,O77*$I$16,O77*$I$15)</f>
        <v>-1588.3638333333331</v>
      </c>
      <c r="P83" s="153"/>
      <c r="Q83" s="155">
        <f>IF(Q77&gt;0,Q77*$I$16,Q77*$I$15)</f>
        <v>1157.7896875000001</v>
      </c>
      <c r="R83" s="155">
        <f>IF(R77&gt;0,R77*$I$16,R77*$I$15)</f>
        <v>998.41468750000013</v>
      </c>
      <c r="S83" s="19"/>
      <c r="T83" s="19"/>
      <c r="V83" s="265"/>
      <c r="W83" s="265"/>
      <c r="X83" s="265"/>
      <c r="Y83" s="265"/>
      <c r="Z83" s="265"/>
    </row>
    <row r="84" spans="1:26" ht="14.4" x14ac:dyDescent="0.3">
      <c r="A84" s="14"/>
      <c r="B84" s="14"/>
      <c r="C84" s="19"/>
      <c r="D84" s="19"/>
      <c r="E84" s="18" t="s">
        <v>57</v>
      </c>
      <c r="F84" s="14"/>
      <c r="G84" s="14"/>
      <c r="H84" s="14"/>
      <c r="I84" s="14"/>
      <c r="J84" s="14"/>
      <c r="K84" s="14"/>
      <c r="L84" s="14"/>
      <c r="M84" s="151">
        <f>SUM(M81:M83)</f>
        <v>6330.6049999999996</v>
      </c>
      <c r="N84" s="151">
        <f t="shared" ref="N84:O84" si="6">SUM(N81:N83)</f>
        <v>-90238.2</v>
      </c>
      <c r="O84" s="151">
        <f t="shared" si="6"/>
        <v>-32313.363833333333</v>
      </c>
      <c r="P84" s="14"/>
      <c r="Q84" s="151">
        <f>SUM(Q81:Q83)</f>
        <v>-3842.2103124999999</v>
      </c>
      <c r="R84" s="151">
        <f>SUM(R81:R83)</f>
        <v>-4001.5853124999999</v>
      </c>
      <c r="S84" s="19"/>
      <c r="T84" s="19"/>
    </row>
    <row r="85" spans="1:26" ht="14.4" x14ac:dyDescent="0.3">
      <c r="A85" s="14"/>
      <c r="B85" s="14"/>
      <c r="C85" s="19"/>
      <c r="D85" s="19"/>
      <c r="E85" s="152" t="s">
        <v>40</v>
      </c>
      <c r="F85" s="153"/>
      <c r="G85" s="153"/>
      <c r="H85" s="153"/>
      <c r="I85" s="153"/>
      <c r="J85" s="153"/>
      <c r="K85" s="153"/>
      <c r="L85" s="153"/>
      <c r="M85" s="156">
        <f>IF(M84&gt;0,M84*(0.124+0.15+0.04),0)</f>
        <v>1987.8099699999998</v>
      </c>
      <c r="N85" s="156">
        <f>IF(N84&gt;0,N84*(0.124+0.15+0.04),0)</f>
        <v>0</v>
      </c>
      <c r="O85" s="156">
        <f>IF(O84&gt;0,O84*(0.124+0.15+0.04),0)</f>
        <v>0</v>
      </c>
      <c r="P85" s="153"/>
      <c r="Q85" s="156">
        <f>IF(Q84&gt;0,Q84*(0.124+0.15+0.04),0)</f>
        <v>0</v>
      </c>
      <c r="R85" s="156">
        <f>IF(R84&gt;0,R84*(0.124+0.15+0.04),0)</f>
        <v>0</v>
      </c>
      <c r="S85" s="19"/>
      <c r="T85" s="19"/>
    </row>
    <row r="86" spans="1:26" ht="14.4" x14ac:dyDescent="0.3">
      <c r="A86" s="14"/>
      <c r="B86" s="14"/>
      <c r="C86" s="19"/>
      <c r="D86" s="19"/>
      <c r="E86" s="157" t="s">
        <v>41</v>
      </c>
      <c r="F86" s="14"/>
      <c r="G86" s="14"/>
      <c r="H86" s="14"/>
      <c r="I86" s="14"/>
      <c r="J86" s="14"/>
      <c r="K86" s="14"/>
      <c r="L86" s="14"/>
      <c r="M86" s="158">
        <f>M84-M85</f>
        <v>4342.7950299999993</v>
      </c>
      <c r="N86" s="158">
        <f t="shared" ref="N86:O86" si="7">N84-N85</f>
        <v>-90238.2</v>
      </c>
      <c r="O86" s="168">
        <f t="shared" si="7"/>
        <v>-32313.363833333333</v>
      </c>
      <c r="P86" s="14"/>
      <c r="Q86" s="158">
        <f>Q84-Q85</f>
        <v>-3842.2103124999999</v>
      </c>
      <c r="R86" s="158">
        <f>R84-R85</f>
        <v>-4001.5853124999999</v>
      </c>
      <c r="S86" s="19"/>
      <c r="T86" s="19"/>
    </row>
    <row r="87" spans="1:26" ht="15" thickBot="1" x14ac:dyDescent="0.35">
      <c r="A87" s="14"/>
      <c r="B87" s="14"/>
      <c r="C87" s="19"/>
      <c r="D87" s="19"/>
      <c r="E87" s="157" t="s">
        <v>68</v>
      </c>
      <c r="F87" s="14"/>
      <c r="G87" s="14"/>
      <c r="H87" s="14"/>
      <c r="I87" s="14"/>
      <c r="J87" s="14"/>
      <c r="K87" s="14"/>
      <c r="L87" s="14"/>
      <c r="M87" s="151">
        <v>0</v>
      </c>
      <c r="N87" s="151">
        <v>0</v>
      </c>
      <c r="O87" s="151">
        <v>0</v>
      </c>
      <c r="P87" s="14"/>
      <c r="Q87" s="151">
        <f>IF(E80=$R$19,$I$8*$I$46,0)</f>
        <v>0</v>
      </c>
      <c r="R87" s="151">
        <v>0</v>
      </c>
      <c r="S87" s="19"/>
      <c r="T87" s="19"/>
    </row>
    <row r="88" spans="1:26" ht="15" thickBot="1" x14ac:dyDescent="0.35">
      <c r="A88" s="14"/>
      <c r="B88" s="14"/>
      <c r="C88" s="19"/>
      <c r="D88" s="132"/>
      <c r="E88" s="133" t="s">
        <v>77</v>
      </c>
      <c r="F88" s="134"/>
      <c r="G88" s="134"/>
      <c r="H88" s="134"/>
      <c r="I88" s="134"/>
      <c r="J88" s="134"/>
      <c r="K88" s="134"/>
      <c r="L88" s="169"/>
      <c r="M88" s="163"/>
      <c r="N88" s="164"/>
      <c r="O88" s="106"/>
      <c r="P88" s="19"/>
      <c r="Q88" s="164"/>
      <c r="R88" s="164"/>
      <c r="S88" s="131"/>
      <c r="T88" s="19"/>
    </row>
    <row r="89" spans="1:26" ht="14.4" x14ac:dyDescent="0.3">
      <c r="A89" s="14"/>
      <c r="B89" s="14"/>
      <c r="C89" s="19"/>
      <c r="D89" s="138"/>
      <c r="E89" s="165" t="s">
        <v>1</v>
      </c>
      <c r="F89" s="140"/>
      <c r="G89" s="140"/>
      <c r="H89" s="140"/>
      <c r="I89" s="140"/>
      <c r="J89" s="140"/>
      <c r="K89" s="140"/>
      <c r="L89" s="134"/>
      <c r="M89" s="170">
        <f>IF($Q87&gt;0,$I$8*$I$46,$M76+$M87)</f>
        <v>85000</v>
      </c>
      <c r="N89" s="170">
        <f t="shared" ref="N89:O89" si="8">IF($Q87&gt;0,$I$8*$I$46,$M76+$M87)</f>
        <v>85000</v>
      </c>
      <c r="O89" s="170">
        <f t="shared" si="8"/>
        <v>85000</v>
      </c>
      <c r="P89" s="170">
        <f t="shared" ref="P89:R89" si="9">P76+P87</f>
        <v>0</v>
      </c>
      <c r="Q89" s="170">
        <f t="shared" si="9"/>
        <v>0</v>
      </c>
      <c r="R89" s="170">
        <f t="shared" si="9"/>
        <v>0</v>
      </c>
      <c r="S89" s="143"/>
      <c r="T89" s="19"/>
    </row>
    <row r="90" spans="1:26" ht="14.4" x14ac:dyDescent="0.3">
      <c r="A90" s="14"/>
      <c r="B90" s="14"/>
      <c r="C90" s="19"/>
      <c r="D90" s="138"/>
      <c r="E90" s="166" t="s">
        <v>55</v>
      </c>
      <c r="F90" s="140"/>
      <c r="G90" s="140"/>
      <c r="H90" s="140"/>
      <c r="I90" s="140"/>
      <c r="J90" s="140"/>
      <c r="K90" s="140"/>
      <c r="L90" s="140"/>
      <c r="M90" s="171">
        <f>M77+M86</f>
        <v>10791.195029999999</v>
      </c>
      <c r="N90" s="171">
        <f t="shared" ref="N90:O90" si="10">N77+N86</f>
        <v>-112518.2</v>
      </c>
      <c r="O90" s="171">
        <f t="shared" si="10"/>
        <v>-56749.730499999991</v>
      </c>
      <c r="P90" s="140"/>
      <c r="Q90" s="171">
        <f>Q77+Q86</f>
        <v>88780.964687500003</v>
      </c>
      <c r="R90" s="171">
        <f>R77+R86</f>
        <v>75871.589687500003</v>
      </c>
      <c r="S90" s="143"/>
      <c r="T90" s="19"/>
    </row>
    <row r="91" spans="1:26" ht="15" thickBot="1" x14ac:dyDescent="0.35">
      <c r="A91" s="14"/>
      <c r="B91" s="14"/>
      <c r="C91" s="19"/>
      <c r="D91" s="167"/>
      <c r="E91" s="145" t="s">
        <v>17</v>
      </c>
      <c r="F91" s="146"/>
      <c r="G91" s="146"/>
      <c r="H91" s="146"/>
      <c r="I91" s="146"/>
      <c r="J91" s="146"/>
      <c r="K91" s="146"/>
      <c r="L91" s="146"/>
      <c r="M91" s="172">
        <f>SUM(M89:M90)</f>
        <v>95791.195030000003</v>
      </c>
      <c r="N91" s="172">
        <f t="shared" ref="N91:O91" si="11">SUM(N89:N90)</f>
        <v>-27518.199999999997</v>
      </c>
      <c r="O91" s="172">
        <f t="shared" si="11"/>
        <v>28250.269500000009</v>
      </c>
      <c r="P91" s="146"/>
      <c r="Q91" s="172">
        <f>SUM(Q89:Q90)</f>
        <v>88780.964687500003</v>
      </c>
      <c r="R91" s="172">
        <f>SUM(R89:R90)</f>
        <v>75871.589687500003</v>
      </c>
      <c r="S91" s="148"/>
      <c r="T91" s="19"/>
    </row>
    <row r="92" spans="1:26" ht="9.9" customHeight="1" x14ac:dyDescent="0.3">
      <c r="A92" s="14"/>
      <c r="B92" s="14"/>
      <c r="C92" s="19"/>
      <c r="D92" s="19"/>
      <c r="E92" s="173"/>
      <c r="F92" s="14"/>
      <c r="G92" s="14"/>
      <c r="H92" s="14"/>
      <c r="I92" s="14"/>
      <c r="J92" s="14"/>
      <c r="K92" s="14"/>
      <c r="L92" s="14"/>
      <c r="M92" s="158"/>
      <c r="N92" s="51"/>
      <c r="O92" s="51"/>
      <c r="P92" s="14"/>
      <c r="Q92" s="51"/>
      <c r="R92" s="51"/>
      <c r="S92" s="19"/>
      <c r="T92" s="19"/>
    </row>
    <row r="93" spans="1:26" ht="14.4" x14ac:dyDescent="0.3">
      <c r="A93" s="14"/>
      <c r="B93" s="14"/>
      <c r="C93" s="19"/>
      <c r="D93" s="19"/>
      <c r="E93" s="196">
        <f>E80+1</f>
        <v>2013</v>
      </c>
      <c r="F93" s="14"/>
      <c r="G93" s="14"/>
      <c r="H93" s="14"/>
      <c r="I93" s="14"/>
      <c r="J93" s="14"/>
      <c r="K93" s="14"/>
      <c r="L93" s="14"/>
      <c r="M93" s="158"/>
      <c r="N93" s="51"/>
      <c r="O93" s="51"/>
      <c r="P93" s="14"/>
      <c r="Q93" s="51"/>
      <c r="R93" s="51"/>
      <c r="S93" s="19"/>
      <c r="T93" s="19"/>
    </row>
    <row r="94" spans="1:26" ht="14.4" x14ac:dyDescent="0.3">
      <c r="A94" s="14"/>
      <c r="B94" s="14"/>
      <c r="C94" s="19"/>
      <c r="D94" s="19"/>
      <c r="E94" s="159" t="s">
        <v>56</v>
      </c>
      <c r="F94" s="14"/>
      <c r="G94" s="14"/>
      <c r="H94" s="14"/>
      <c r="I94" s="14"/>
      <c r="J94" s="14"/>
      <c r="K94" s="14"/>
      <c r="L94" s="14"/>
      <c r="M94" s="151">
        <f>($I$8*$R$9)*$R$11*$R$16</f>
        <v>54000</v>
      </c>
      <c r="N94" s="151">
        <f>($I$8*$R$9)*$R$11*$R$16</f>
        <v>54000</v>
      </c>
      <c r="O94" s="151">
        <f>IF(E93&lt;$R$19,(($I$8*$R$9)-$I$35)*($R$11*(1+$I$36))*$R$16,($I$8*$R$9)*$R$11*$R$16)</f>
        <v>54000</v>
      </c>
      <c r="P94" s="14"/>
      <c r="Q94" s="151">
        <f>IF(E93&gt;$R$19,($I$8*$R$9)*$R$11*$R$16,0)</f>
        <v>0</v>
      </c>
      <c r="R94" s="151">
        <v>0</v>
      </c>
      <c r="S94" s="19"/>
      <c r="T94" s="19"/>
    </row>
    <row r="95" spans="1:26" ht="14.4" x14ac:dyDescent="0.3">
      <c r="A95" s="14"/>
      <c r="B95" s="14"/>
      <c r="C95" s="19"/>
      <c r="D95" s="19"/>
      <c r="E95" s="18" t="s">
        <v>67</v>
      </c>
      <c r="F95" s="14"/>
      <c r="G95" s="14"/>
      <c r="H95" s="14"/>
      <c r="I95" s="14"/>
      <c r="J95" s="14"/>
      <c r="K95" s="14"/>
      <c r="L95" s="14"/>
      <c r="M95" s="151">
        <f>-($I$8*$I$12)</f>
        <v>-50000</v>
      </c>
      <c r="N95" s="197">
        <f>IF($X18&gt;0,-(($I$8*$I$12)+($X$18*$I$28*$I$8)),-($I$8*$I$12))</f>
        <v>-57920</v>
      </c>
      <c r="O95" s="197">
        <f>-(IF($X$18&gt;0,(($I$8*$I$12)+($W$18*$I$33*$I$8)),($I$8*$I$12)))</f>
        <v>-52500</v>
      </c>
      <c r="P95" s="14"/>
      <c r="Q95" s="151">
        <f>IF(Q94=0,-$I$43,-$I$8*$I$12)</f>
        <v>-5000</v>
      </c>
      <c r="R95" s="151">
        <f>-$I$43</f>
        <v>-5000</v>
      </c>
      <c r="S95" s="19"/>
      <c r="T95" s="19"/>
    </row>
    <row r="96" spans="1:26" ht="14.4" x14ac:dyDescent="0.3">
      <c r="A96" s="14"/>
      <c r="B96" s="14"/>
      <c r="C96" s="19"/>
      <c r="D96" s="19"/>
      <c r="E96" s="152" t="s">
        <v>71</v>
      </c>
      <c r="F96" s="153"/>
      <c r="G96" s="153"/>
      <c r="H96" s="153"/>
      <c r="I96" s="153"/>
      <c r="J96" s="153"/>
      <c r="K96" s="153"/>
      <c r="L96" s="153"/>
      <c r="M96" s="155">
        <f>IF(M90&gt;0,M90*$I$16,M90*$I$15)</f>
        <v>134.88993787499999</v>
      </c>
      <c r="N96" s="155">
        <f>IF(N90&gt;0,N90*$I$16,N90*$I$15)</f>
        <v>-7313.683</v>
      </c>
      <c r="O96" s="155">
        <f>IF(O90&gt;0,O90*$I$16,O90*$I$15)</f>
        <v>-3688.7324824999996</v>
      </c>
      <c r="P96" s="153"/>
      <c r="Q96" s="155">
        <f>IF(Q90&gt;0,Q90*$I$16,Q90*$I$15)</f>
        <v>1109.76205859375</v>
      </c>
      <c r="R96" s="155">
        <f>IF(R90&gt;0,R90*$I$16,R90*$I$15)</f>
        <v>948.39487109375011</v>
      </c>
      <c r="S96" s="19"/>
      <c r="T96" s="19"/>
    </row>
    <row r="97" spans="1:20" ht="14.4" x14ac:dyDescent="0.3">
      <c r="A97" s="14"/>
      <c r="B97" s="14"/>
      <c r="C97" s="19"/>
      <c r="D97" s="19"/>
      <c r="E97" s="18" t="s">
        <v>57</v>
      </c>
      <c r="F97" s="14"/>
      <c r="G97" s="14"/>
      <c r="H97" s="14"/>
      <c r="I97" s="14"/>
      <c r="J97" s="14"/>
      <c r="K97" s="14"/>
      <c r="L97" s="14"/>
      <c r="M97" s="151">
        <f>SUM(M94:M96)</f>
        <v>4134.8899378750002</v>
      </c>
      <c r="N97" s="151">
        <f t="shared" ref="N97:O97" si="12">SUM(N94:N96)</f>
        <v>-11233.683000000001</v>
      </c>
      <c r="O97" s="151">
        <f t="shared" si="12"/>
        <v>-2188.7324824999996</v>
      </c>
      <c r="P97" s="14"/>
      <c r="Q97" s="151">
        <f>SUM(Q94:Q96)</f>
        <v>-3890.2379414062498</v>
      </c>
      <c r="R97" s="151">
        <f>SUM(R94:R96)</f>
        <v>-4051.6051289062498</v>
      </c>
      <c r="S97" s="19"/>
      <c r="T97" s="19"/>
    </row>
    <row r="98" spans="1:20" ht="14.4" x14ac:dyDescent="0.3">
      <c r="A98" s="14"/>
      <c r="B98" s="14"/>
      <c r="C98" s="19"/>
      <c r="D98" s="19"/>
      <c r="E98" s="152" t="s">
        <v>40</v>
      </c>
      <c r="F98" s="153"/>
      <c r="G98" s="153"/>
      <c r="H98" s="153"/>
      <c r="I98" s="153"/>
      <c r="J98" s="153"/>
      <c r="K98" s="153"/>
      <c r="L98" s="153"/>
      <c r="M98" s="156">
        <f>IF(M97&gt;0,M97*(0.124+0.15+0.04),0)</f>
        <v>1298.3554404927502</v>
      </c>
      <c r="N98" s="156">
        <f>IF(N97&gt;0,N97*(0.124+0.15+0.04),0)</f>
        <v>0</v>
      </c>
      <c r="O98" s="156">
        <f>IF(O97&gt;0,O97*(0.124+0.15+0.04),0)</f>
        <v>0</v>
      </c>
      <c r="P98" s="153"/>
      <c r="Q98" s="156">
        <f>IF(Q97&gt;0,Q97*(0.124+0.15+0.04),0)</f>
        <v>0</v>
      </c>
      <c r="R98" s="156">
        <f>IF(R97&gt;0,R97*(0.124+0.15+0.04),0)</f>
        <v>0</v>
      </c>
      <c r="S98" s="19"/>
      <c r="T98" s="19"/>
    </row>
    <row r="99" spans="1:20" ht="14.4" x14ac:dyDescent="0.3">
      <c r="A99" s="14"/>
      <c r="B99" s="14"/>
      <c r="C99" s="19"/>
      <c r="D99" s="19"/>
      <c r="E99" s="157" t="s">
        <v>41</v>
      </c>
      <c r="F99" s="14"/>
      <c r="G99" s="14"/>
      <c r="H99" s="14"/>
      <c r="I99" s="14"/>
      <c r="J99" s="14"/>
      <c r="K99" s="14"/>
      <c r="L99" s="14"/>
      <c r="M99" s="158">
        <f>M97-M98</f>
        <v>2836.5344973822503</v>
      </c>
      <c r="N99" s="158">
        <f t="shared" ref="N99:O99" si="13">N97-N98</f>
        <v>-11233.683000000001</v>
      </c>
      <c r="O99" s="158">
        <f t="shared" si="13"/>
        <v>-2188.7324824999996</v>
      </c>
      <c r="P99" s="14"/>
      <c r="Q99" s="158">
        <f>Q97-Q98</f>
        <v>-3890.2379414062498</v>
      </c>
      <c r="R99" s="158">
        <f>R97-R98</f>
        <v>-4051.6051289062498</v>
      </c>
      <c r="S99" s="19"/>
      <c r="T99" s="19"/>
    </row>
    <row r="100" spans="1:20" ht="15" thickBot="1" x14ac:dyDescent="0.35">
      <c r="A100" s="14"/>
      <c r="B100" s="14"/>
      <c r="C100" s="19"/>
      <c r="D100" s="19"/>
      <c r="E100" s="157" t="s">
        <v>68</v>
      </c>
      <c r="F100" s="14"/>
      <c r="G100" s="14"/>
      <c r="H100" s="14"/>
      <c r="I100" s="14"/>
      <c r="J100" s="14"/>
      <c r="K100" s="14"/>
      <c r="L100" s="14"/>
      <c r="M100" s="151">
        <v>0</v>
      </c>
      <c r="N100" s="151">
        <v>0</v>
      </c>
      <c r="O100" s="151">
        <v>0</v>
      </c>
      <c r="P100" s="14"/>
      <c r="Q100" s="151">
        <f>IF(E93=$R$19,$I$8*$I$46,0)</f>
        <v>100000</v>
      </c>
      <c r="R100" s="151">
        <v>0</v>
      </c>
      <c r="S100" s="19"/>
      <c r="T100" s="19"/>
    </row>
    <row r="101" spans="1:20" ht="15" thickBot="1" x14ac:dyDescent="0.35">
      <c r="A101" s="14"/>
      <c r="B101" s="14"/>
      <c r="C101" s="19"/>
      <c r="D101" s="132"/>
      <c r="E101" s="133" t="s">
        <v>77</v>
      </c>
      <c r="F101" s="134"/>
      <c r="G101" s="134"/>
      <c r="H101" s="134"/>
      <c r="I101" s="134"/>
      <c r="J101" s="134"/>
      <c r="K101" s="135"/>
      <c r="L101" s="19"/>
      <c r="M101" s="163"/>
      <c r="N101" s="164"/>
      <c r="O101" s="164"/>
      <c r="P101" s="19"/>
      <c r="Q101" s="164"/>
      <c r="R101" s="164"/>
      <c r="S101" s="19"/>
      <c r="T101" s="19"/>
    </row>
    <row r="102" spans="1:20" ht="14.4" x14ac:dyDescent="0.3">
      <c r="A102" s="14"/>
      <c r="B102" s="14"/>
      <c r="C102" s="19"/>
      <c r="D102" s="138"/>
      <c r="E102" s="165" t="s">
        <v>1</v>
      </c>
      <c r="F102" s="140"/>
      <c r="G102" s="140"/>
      <c r="H102" s="140"/>
      <c r="I102" s="140"/>
      <c r="J102" s="140"/>
      <c r="K102" s="140"/>
      <c r="L102" s="134"/>
      <c r="M102" s="170">
        <f>IF($Q100&gt;0,$I$8*$I$46,$M89+$M100)</f>
        <v>100000</v>
      </c>
      <c r="N102" s="170">
        <f t="shared" ref="N102:O102" si="14">IF($Q100&gt;0,$I$8*$I$46,$M89+$M100)</f>
        <v>100000</v>
      </c>
      <c r="O102" s="170">
        <f t="shared" si="14"/>
        <v>100000</v>
      </c>
      <c r="P102" s="134"/>
      <c r="Q102" s="141">
        <f>Q89+Q100</f>
        <v>100000</v>
      </c>
      <c r="R102" s="141">
        <f>R89+R100</f>
        <v>0</v>
      </c>
      <c r="S102" s="135"/>
      <c r="T102" s="19"/>
    </row>
    <row r="103" spans="1:20" ht="14.4" x14ac:dyDescent="0.3">
      <c r="A103" s="14"/>
      <c r="B103" s="14"/>
      <c r="C103" s="19"/>
      <c r="D103" s="138"/>
      <c r="E103" s="166" t="s">
        <v>55</v>
      </c>
      <c r="F103" s="140"/>
      <c r="G103" s="140"/>
      <c r="H103" s="140"/>
      <c r="I103" s="140"/>
      <c r="J103" s="140"/>
      <c r="K103" s="140"/>
      <c r="L103" s="140"/>
      <c r="M103" s="171">
        <f>M90+M99-M100</f>
        <v>13627.729527382249</v>
      </c>
      <c r="N103" s="171">
        <f t="shared" ref="N103:O103" si="15">N90+N99-N100</f>
        <v>-123751.883</v>
      </c>
      <c r="O103" s="171">
        <f t="shared" si="15"/>
        <v>-58938.462982499987</v>
      </c>
      <c r="P103" s="140"/>
      <c r="Q103" s="171">
        <f>Q90+Q99-Q100</f>
        <v>-15109.273253906242</v>
      </c>
      <c r="R103" s="171">
        <f>R90+R99-R100</f>
        <v>71819.984558593758</v>
      </c>
      <c r="S103" s="143"/>
      <c r="T103" s="19"/>
    </row>
    <row r="104" spans="1:20" ht="15" thickBot="1" x14ac:dyDescent="0.35">
      <c r="A104" s="14"/>
      <c r="B104" s="14"/>
      <c r="C104" s="19"/>
      <c r="D104" s="167"/>
      <c r="E104" s="145" t="s">
        <v>17</v>
      </c>
      <c r="F104" s="146"/>
      <c r="G104" s="146"/>
      <c r="H104" s="146"/>
      <c r="I104" s="146"/>
      <c r="J104" s="146"/>
      <c r="K104" s="146"/>
      <c r="L104" s="146"/>
      <c r="M104" s="172">
        <f>SUM(M102:M103)</f>
        <v>113627.72952738225</v>
      </c>
      <c r="N104" s="172">
        <f t="shared" ref="N104:O104" si="16">SUM(N102:N103)</f>
        <v>-23751.883000000002</v>
      </c>
      <c r="O104" s="172">
        <f t="shared" si="16"/>
        <v>41061.537017500013</v>
      </c>
      <c r="P104" s="146"/>
      <c r="Q104" s="172">
        <f>SUM(Q102:Q103)</f>
        <v>84890.726746093758</v>
      </c>
      <c r="R104" s="172">
        <f>SUM(R102:R103)</f>
        <v>71819.984558593758</v>
      </c>
      <c r="S104" s="148"/>
      <c r="T104" s="19"/>
    </row>
    <row r="105" spans="1:20" ht="9.9" customHeight="1" x14ac:dyDescent="0.3">
      <c r="A105" s="14"/>
      <c r="B105" s="14"/>
      <c r="C105" s="19"/>
      <c r="D105" s="19"/>
      <c r="E105" s="103"/>
      <c r="F105" s="14"/>
      <c r="G105" s="14"/>
      <c r="H105" s="14"/>
      <c r="I105" s="14"/>
      <c r="J105" s="14"/>
      <c r="K105" s="14"/>
      <c r="L105" s="14"/>
      <c r="M105" s="103"/>
      <c r="N105" s="103"/>
      <c r="O105" s="103"/>
      <c r="P105" s="14"/>
      <c r="Q105" s="103"/>
      <c r="R105" s="103"/>
      <c r="S105" s="19"/>
      <c r="T105" s="19"/>
    </row>
    <row r="106" spans="1:20" ht="15" customHeight="1" x14ac:dyDescent="0.3">
      <c r="A106" s="14"/>
      <c r="B106" s="14"/>
      <c r="C106" s="19"/>
      <c r="D106" s="19"/>
      <c r="E106" s="196">
        <f>E93+1</f>
        <v>2014</v>
      </c>
      <c r="F106" s="14"/>
      <c r="G106" s="263"/>
      <c r="H106" s="14"/>
      <c r="I106" s="14"/>
      <c r="J106" s="14"/>
      <c r="K106" s="14"/>
      <c r="L106" s="14"/>
      <c r="M106" s="158"/>
      <c r="N106" s="51"/>
      <c r="O106" s="51"/>
      <c r="P106" s="14"/>
      <c r="Q106" s="51"/>
      <c r="R106" s="51"/>
      <c r="S106" s="19"/>
      <c r="T106" s="19"/>
    </row>
    <row r="107" spans="1:20" ht="15" customHeight="1" x14ac:dyDescent="0.3">
      <c r="A107" s="14"/>
      <c r="B107" s="14"/>
      <c r="C107" s="19"/>
      <c r="D107" s="19"/>
      <c r="E107" s="159" t="s">
        <v>56</v>
      </c>
      <c r="F107" s="14"/>
      <c r="G107" s="14"/>
      <c r="H107" s="14"/>
      <c r="I107" s="14"/>
      <c r="J107" s="14"/>
      <c r="K107" s="14"/>
      <c r="L107" s="14"/>
      <c r="M107" s="151">
        <f>($I$8*$R$9)*$R$11*$R$16</f>
        <v>54000</v>
      </c>
      <c r="N107" s="151">
        <f>($I$8*$R$9)*$R$11*$R$16</f>
        <v>54000</v>
      </c>
      <c r="O107" s="151">
        <f>IF(E106&lt;$R$19,(($I$8*$R$9)-$I$35)*($R$11*(1+$I$36))*$R$16,($I$8*$R$9)*$R$11*$R$16)</f>
        <v>54000</v>
      </c>
      <c r="P107" s="14"/>
      <c r="Q107" s="151">
        <f>IF(E106&gt;$R$19,($I$8*$R$9)*$R$11*$R$16,"X")</f>
        <v>54000</v>
      </c>
      <c r="R107" s="151">
        <v>0</v>
      </c>
      <c r="S107" s="19"/>
      <c r="T107" s="19"/>
    </row>
    <row r="108" spans="1:20" ht="15" customHeight="1" x14ac:dyDescent="0.3">
      <c r="A108" s="14"/>
      <c r="B108" s="14"/>
      <c r="C108" s="19"/>
      <c r="D108" s="19"/>
      <c r="E108" s="18" t="s">
        <v>67</v>
      </c>
      <c r="F108" s="14"/>
      <c r="G108" s="14"/>
      <c r="H108" s="14"/>
      <c r="I108" s="14"/>
      <c r="J108" s="14"/>
      <c r="K108" s="14"/>
      <c r="L108" s="14"/>
      <c r="M108" s="151">
        <f>-($I$8*$I$12)</f>
        <v>-50000</v>
      </c>
      <c r="N108" s="197">
        <f>IF($X31&gt;0,-(($I$8*$I$12)+($X$18*$I$28*$I$8)),-($I$8*$I$12))</f>
        <v>-50000</v>
      </c>
      <c r="O108" s="197">
        <f>-(IF($X$19&gt;0,(($I$8*$I$12)+($W$18*$I$33*$I$8)),($I$8*$I$12)))</f>
        <v>-50000</v>
      </c>
      <c r="P108" s="14"/>
      <c r="Q108" s="151">
        <f>IF(Q107=0,-$I$43,-$I$8*$I$12)</f>
        <v>-50000</v>
      </c>
      <c r="R108" s="151">
        <f>-$I$43</f>
        <v>-5000</v>
      </c>
      <c r="S108" s="19"/>
      <c r="T108" s="19"/>
    </row>
    <row r="109" spans="1:20" ht="15" customHeight="1" x14ac:dyDescent="0.3">
      <c r="A109" s="14"/>
      <c r="B109" s="14"/>
      <c r="C109" s="19"/>
      <c r="D109" s="19"/>
      <c r="E109" s="152" t="s">
        <v>71</v>
      </c>
      <c r="F109" s="153"/>
      <c r="G109" s="153"/>
      <c r="H109" s="153"/>
      <c r="I109" s="153"/>
      <c r="J109" s="153"/>
      <c r="K109" s="153"/>
      <c r="L109" s="153"/>
      <c r="M109" s="155">
        <f>IF(M103&gt;0,M103*$I$16,M103*$I$15)</f>
        <v>170.34661909227813</v>
      </c>
      <c r="N109" s="155">
        <f>IF(N103&gt;0,N103*$I$16,N103*$I$15)</f>
        <v>-8043.8723950000003</v>
      </c>
      <c r="O109" s="155">
        <f>IF(O103&gt;0,O103*$I$16,O103*$I$15)</f>
        <v>-3831.0000938624994</v>
      </c>
      <c r="P109" s="153"/>
      <c r="Q109" s="155">
        <f>IF(Q103&gt;0,Q103*$I$16,Q103*$I$15)</f>
        <v>-982.10276150390575</v>
      </c>
      <c r="R109" s="155">
        <f>IF(R103&gt;0,R103*$I$16,R103*$I$15)</f>
        <v>897.749806982422</v>
      </c>
      <c r="S109" s="19"/>
      <c r="T109" s="19"/>
    </row>
    <row r="110" spans="1:20" ht="15" customHeight="1" x14ac:dyDescent="0.3">
      <c r="A110" s="14"/>
      <c r="B110" s="14"/>
      <c r="C110" s="19"/>
      <c r="D110" s="19"/>
      <c r="E110" s="18" t="s">
        <v>57</v>
      </c>
      <c r="F110" s="14"/>
      <c r="G110" s="14"/>
      <c r="H110" s="14"/>
      <c r="I110" s="14"/>
      <c r="J110" s="14"/>
      <c r="K110" s="14"/>
      <c r="L110" s="14"/>
      <c r="M110" s="151">
        <f>SUM(M107:M109)</f>
        <v>4170.3466190922782</v>
      </c>
      <c r="N110" s="151">
        <f t="shared" ref="N110:O110" si="17">SUM(N107:N109)</f>
        <v>-4043.8723950000003</v>
      </c>
      <c r="O110" s="151">
        <f t="shared" si="17"/>
        <v>168.9999061375006</v>
      </c>
      <c r="P110" s="14"/>
      <c r="Q110" s="151">
        <f>SUM(Q107:Q109)</f>
        <v>3017.8972384960944</v>
      </c>
      <c r="R110" s="151">
        <f>SUM(R107:R109)</f>
        <v>-4102.2501930175777</v>
      </c>
      <c r="S110" s="19"/>
      <c r="T110" s="19"/>
    </row>
    <row r="111" spans="1:20" ht="15" customHeight="1" x14ac:dyDescent="0.3">
      <c r="A111" s="14"/>
      <c r="B111" s="14"/>
      <c r="C111" s="19"/>
      <c r="D111" s="19"/>
      <c r="E111" s="152" t="s">
        <v>40</v>
      </c>
      <c r="F111" s="153"/>
      <c r="G111" s="153"/>
      <c r="H111" s="153"/>
      <c r="I111" s="153"/>
      <c r="J111" s="153"/>
      <c r="K111" s="153"/>
      <c r="L111" s="153"/>
      <c r="M111" s="156">
        <f>IF(M110&gt;0,M110*(0.124+0.15+0.04),0)</f>
        <v>1309.4888383949753</v>
      </c>
      <c r="N111" s="156">
        <f>IF(N110&gt;0,N110*(0.124+0.15+0.04),0)</f>
        <v>0</v>
      </c>
      <c r="O111" s="156">
        <f>IF(O110&gt;0,O110*(0.124+0.15+0.04),0)</f>
        <v>53.065970527175189</v>
      </c>
      <c r="P111" s="153"/>
      <c r="Q111" s="156">
        <f>IF(Q110&gt;0,Q110*(0.124+0.15+0.04),0)</f>
        <v>947.61973288777358</v>
      </c>
      <c r="R111" s="156">
        <f>IF(R110&gt;0,R110*(0.124+0.15+0.04),0)</f>
        <v>0</v>
      </c>
      <c r="S111" s="19"/>
      <c r="T111" s="19"/>
    </row>
    <row r="112" spans="1:20" ht="15" customHeight="1" x14ac:dyDescent="0.3">
      <c r="A112" s="14"/>
      <c r="B112" s="14"/>
      <c r="C112" s="19"/>
      <c r="D112" s="19"/>
      <c r="E112" s="157" t="s">
        <v>41</v>
      </c>
      <c r="F112" s="14"/>
      <c r="G112" s="14"/>
      <c r="H112" s="14"/>
      <c r="I112" s="14"/>
      <c r="J112" s="14"/>
      <c r="K112" s="14"/>
      <c r="L112" s="14"/>
      <c r="M112" s="158">
        <f>M110-M111</f>
        <v>2860.8577806973026</v>
      </c>
      <c r="N112" s="158">
        <f t="shared" ref="N112:O112" si="18">N110-N111</f>
        <v>-4043.8723950000003</v>
      </c>
      <c r="O112" s="158">
        <f t="shared" si="18"/>
        <v>115.93393561032542</v>
      </c>
      <c r="P112" s="14"/>
      <c r="Q112" s="158">
        <f>Q110-Q111</f>
        <v>2070.277505608321</v>
      </c>
      <c r="R112" s="158">
        <f>R110-R111</f>
        <v>-4102.2501930175777</v>
      </c>
      <c r="S112" s="19"/>
      <c r="T112" s="19"/>
    </row>
    <row r="113" spans="1:20" ht="15" customHeight="1" thickBot="1" x14ac:dyDescent="0.35">
      <c r="A113" s="14"/>
      <c r="B113" s="14"/>
      <c r="C113" s="19"/>
      <c r="D113" s="19"/>
      <c r="E113" s="157" t="s">
        <v>68</v>
      </c>
      <c r="F113" s="14"/>
      <c r="G113" s="14"/>
      <c r="H113" s="14"/>
      <c r="I113" s="14"/>
      <c r="J113" s="14"/>
      <c r="K113" s="14"/>
      <c r="L113" s="14"/>
      <c r="M113" s="151">
        <v>0</v>
      </c>
      <c r="N113" s="151">
        <v>0</v>
      </c>
      <c r="O113" s="151">
        <v>0</v>
      </c>
      <c r="P113" s="14"/>
      <c r="Q113" s="151">
        <f>IF(E106=$R$19,$I$8*$I$46,0)</f>
        <v>0</v>
      </c>
      <c r="R113" s="151">
        <v>0</v>
      </c>
      <c r="S113" s="19"/>
      <c r="T113" s="19"/>
    </row>
    <row r="114" spans="1:20" ht="15" customHeight="1" thickBot="1" x14ac:dyDescent="0.35">
      <c r="A114" s="14"/>
      <c r="B114" s="14"/>
      <c r="C114" s="19"/>
      <c r="D114" s="132"/>
      <c r="E114" s="133" t="s">
        <v>77</v>
      </c>
      <c r="F114" s="134"/>
      <c r="G114" s="134"/>
      <c r="H114" s="134"/>
      <c r="I114" s="134"/>
      <c r="J114" s="134"/>
      <c r="K114" s="135"/>
      <c r="L114" s="19"/>
      <c r="M114" s="163"/>
      <c r="N114" s="164"/>
      <c r="O114" s="164"/>
      <c r="P114" s="19"/>
      <c r="Q114" s="164"/>
      <c r="R114" s="164"/>
      <c r="S114" s="19"/>
      <c r="T114" s="19"/>
    </row>
    <row r="115" spans="1:20" ht="15" customHeight="1" x14ac:dyDescent="0.3">
      <c r="A115" s="14"/>
      <c r="B115" s="14"/>
      <c r="C115" s="19"/>
      <c r="D115" s="138"/>
      <c r="E115" s="165" t="s">
        <v>1</v>
      </c>
      <c r="F115" s="140"/>
      <c r="G115" s="140"/>
      <c r="H115" s="140"/>
      <c r="I115" s="140"/>
      <c r="J115" s="140"/>
      <c r="K115" s="140"/>
      <c r="L115" s="134"/>
      <c r="M115" s="170">
        <f>IF($Q113&gt;0,$I$8*$I$46,$M102+$M113)</f>
        <v>100000</v>
      </c>
      <c r="N115" s="170">
        <f t="shared" ref="N115:O115" si="19">IF($Q113&gt;0,$I$8*$I$46,$M102+$M113)</f>
        <v>100000</v>
      </c>
      <c r="O115" s="170">
        <f t="shared" si="19"/>
        <v>100000</v>
      </c>
      <c r="P115" s="134"/>
      <c r="Q115" s="141">
        <f>Q102+Q113</f>
        <v>100000</v>
      </c>
      <c r="R115" s="141">
        <f>R102+R113</f>
        <v>0</v>
      </c>
      <c r="S115" s="135"/>
      <c r="T115" s="19"/>
    </row>
    <row r="116" spans="1:20" ht="15" customHeight="1" x14ac:dyDescent="0.3">
      <c r="A116" s="14"/>
      <c r="B116" s="14"/>
      <c r="C116" s="19"/>
      <c r="D116" s="138"/>
      <c r="E116" s="166" t="s">
        <v>55</v>
      </c>
      <c r="F116" s="140"/>
      <c r="G116" s="140"/>
      <c r="H116" s="140"/>
      <c r="I116" s="140"/>
      <c r="J116" s="140"/>
      <c r="K116" s="140"/>
      <c r="L116" s="140"/>
      <c r="M116" s="171">
        <f>M103+M112-M113</f>
        <v>16488.58730807955</v>
      </c>
      <c r="N116" s="171">
        <f t="shared" ref="N116:O116" si="20">N103+N112-N113</f>
        <v>-127795.755395</v>
      </c>
      <c r="O116" s="171">
        <f t="shared" si="20"/>
        <v>-58822.529046889664</v>
      </c>
      <c r="P116" s="140"/>
      <c r="Q116" s="171">
        <f>Q103+Q112-Q113</f>
        <v>-13038.995748297921</v>
      </c>
      <c r="R116" s="171">
        <f>R103+R112-R113</f>
        <v>67717.73436557618</v>
      </c>
      <c r="S116" s="143"/>
      <c r="T116" s="19"/>
    </row>
    <row r="117" spans="1:20" ht="15" customHeight="1" thickBot="1" x14ac:dyDescent="0.35">
      <c r="A117" s="14"/>
      <c r="B117" s="14"/>
      <c r="C117" s="19"/>
      <c r="D117" s="167"/>
      <c r="E117" s="145" t="s">
        <v>17</v>
      </c>
      <c r="F117" s="146"/>
      <c r="G117" s="146"/>
      <c r="H117" s="146"/>
      <c r="I117" s="146"/>
      <c r="J117" s="146"/>
      <c r="K117" s="146"/>
      <c r="L117" s="146"/>
      <c r="M117" s="172">
        <f>SUM(M115:M116)</f>
        <v>116488.58730807956</v>
      </c>
      <c r="N117" s="172">
        <f t="shared" ref="N117:O117" si="21">SUM(N115:N116)</f>
        <v>-27795.755395</v>
      </c>
      <c r="O117" s="172">
        <f t="shared" si="21"/>
        <v>41177.470953110336</v>
      </c>
      <c r="P117" s="146"/>
      <c r="Q117" s="172">
        <f>SUM(Q115:Q116)</f>
        <v>86961.004251702077</v>
      </c>
      <c r="R117" s="172">
        <f>SUM(R115:R116)</f>
        <v>67717.73436557618</v>
      </c>
      <c r="S117" s="148"/>
      <c r="T117" s="19"/>
    </row>
    <row r="118" spans="1:20" ht="9.9" customHeight="1" x14ac:dyDescent="0.3">
      <c r="A118" s="14"/>
      <c r="B118" s="14"/>
      <c r="C118" s="19"/>
      <c r="D118" s="19"/>
      <c r="E118" s="103"/>
      <c r="F118" s="14"/>
      <c r="G118" s="14"/>
      <c r="H118" s="14"/>
      <c r="I118" s="14"/>
      <c r="J118" s="14"/>
      <c r="K118" s="14"/>
      <c r="L118" s="14"/>
      <c r="M118" s="103"/>
      <c r="N118" s="103"/>
      <c r="O118" s="103"/>
      <c r="P118" s="14"/>
      <c r="Q118" s="103"/>
      <c r="R118" s="103"/>
      <c r="S118" s="19"/>
      <c r="T118" s="19"/>
    </row>
    <row r="119" spans="1:20" ht="15" customHeight="1" x14ac:dyDescent="0.3">
      <c r="A119" s="14"/>
      <c r="B119" s="14"/>
      <c r="C119" s="19"/>
      <c r="D119" s="19"/>
      <c r="E119" s="196">
        <f>E106+1</f>
        <v>2015</v>
      </c>
      <c r="F119" s="14"/>
      <c r="G119" s="14"/>
      <c r="H119" s="14"/>
      <c r="I119" s="14"/>
      <c r="J119" s="14"/>
      <c r="K119" s="14"/>
      <c r="L119" s="14"/>
      <c r="M119" s="158"/>
      <c r="N119" s="51"/>
      <c r="O119" s="51"/>
      <c r="P119" s="14"/>
      <c r="Q119" s="51"/>
      <c r="R119" s="51"/>
      <c r="S119" s="19"/>
      <c r="T119" s="19"/>
    </row>
    <row r="120" spans="1:20" ht="15" customHeight="1" x14ac:dyDescent="0.3">
      <c r="A120" s="14"/>
      <c r="B120" s="14"/>
      <c r="C120" s="19"/>
      <c r="D120" s="19"/>
      <c r="E120" s="159" t="s">
        <v>56</v>
      </c>
      <c r="F120" s="14"/>
      <c r="G120" s="14"/>
      <c r="H120" s="14"/>
      <c r="I120" s="14"/>
      <c r="J120" s="14"/>
      <c r="K120" s="14"/>
      <c r="L120" s="14"/>
      <c r="M120" s="151">
        <f>($I$8*$R$9)*$R$11*$R$16</f>
        <v>54000</v>
      </c>
      <c r="N120" s="151">
        <f>($I$8*$R$9)*$R$11*$R$16</f>
        <v>54000</v>
      </c>
      <c r="O120" s="151">
        <f>IF(E119&lt;$R$19,(($I$8*$R$9)-$I$35)*($R$11*(1+$I$36))*$R$16,($I$8*$R$9)*$R$11*$R$16)</f>
        <v>54000</v>
      </c>
      <c r="P120" s="14"/>
      <c r="Q120" s="151">
        <f>IF(E119&gt;$R$19,($I$8*$R$9)*$R$11*$R$16,0)</f>
        <v>54000</v>
      </c>
      <c r="R120" s="151">
        <v>0</v>
      </c>
      <c r="S120" s="19"/>
      <c r="T120" s="19"/>
    </row>
    <row r="121" spans="1:20" ht="15" customHeight="1" x14ac:dyDescent="0.3">
      <c r="A121" s="14"/>
      <c r="B121" s="14"/>
      <c r="C121" s="19"/>
      <c r="D121" s="19"/>
      <c r="E121" s="18" t="s">
        <v>67</v>
      </c>
      <c r="F121" s="14"/>
      <c r="G121" s="14"/>
      <c r="H121" s="14"/>
      <c r="I121" s="14"/>
      <c r="J121" s="14"/>
      <c r="K121" s="14"/>
      <c r="L121" s="14"/>
      <c r="M121" s="151">
        <f>-($I$8*$I$12)</f>
        <v>-50000</v>
      </c>
      <c r="N121" s="197">
        <f>IF($X44&gt;0,-(($I$8*$I$12)+($X$18*$I$28*$I$8)),-($I$8*$I$12))</f>
        <v>-50000</v>
      </c>
      <c r="O121" s="197">
        <f>-(IF($X$20&gt;0,(($I$8*$I$12)+($W$18*$I$33*$I$8)),($I$8*$I$12)))</f>
        <v>-50000</v>
      </c>
      <c r="P121" s="14"/>
      <c r="Q121" s="151">
        <f>IF(Q120=0,-$I$43,-$I$8*$I$12)</f>
        <v>-50000</v>
      </c>
      <c r="R121" s="151">
        <f>-$I$43</f>
        <v>-5000</v>
      </c>
      <c r="S121" s="19"/>
      <c r="T121" s="19"/>
    </row>
    <row r="122" spans="1:20" ht="15" customHeight="1" x14ac:dyDescent="0.3">
      <c r="A122" s="14"/>
      <c r="B122" s="14"/>
      <c r="C122" s="19"/>
      <c r="D122" s="19"/>
      <c r="E122" s="152" t="s">
        <v>71</v>
      </c>
      <c r="F122" s="153"/>
      <c r="G122" s="153"/>
      <c r="H122" s="153"/>
      <c r="I122" s="153"/>
      <c r="J122" s="153"/>
      <c r="K122" s="153"/>
      <c r="L122" s="153"/>
      <c r="M122" s="155">
        <f>IF(M116&gt;0,M116*$I$16,M116*$I$15)</f>
        <v>206.10734135099437</v>
      </c>
      <c r="N122" s="155">
        <f>IF(N116&gt;0,N116*$I$16,N116*$I$15)</f>
        <v>-8306.724100675001</v>
      </c>
      <c r="O122" s="155">
        <f>IF(O116&gt;0,O116*$I$16,O116*$I$15)</f>
        <v>-3823.4643880478284</v>
      </c>
      <c r="P122" s="153"/>
      <c r="Q122" s="155">
        <f>IF(Q116&gt;0,Q116*$I$16,Q116*$I$15)</f>
        <v>-847.53472363936487</v>
      </c>
      <c r="R122" s="155">
        <f>IF(R116&gt;0,R116*$I$16,R116*$I$15)</f>
        <v>846.47167956970225</v>
      </c>
      <c r="S122" s="19"/>
      <c r="T122" s="19"/>
    </row>
    <row r="123" spans="1:20" ht="15" customHeight="1" x14ac:dyDescent="0.3">
      <c r="A123" s="14"/>
      <c r="B123" s="14"/>
      <c r="C123" s="19"/>
      <c r="D123" s="19"/>
      <c r="E123" s="18" t="s">
        <v>57</v>
      </c>
      <c r="F123" s="14"/>
      <c r="G123" s="14"/>
      <c r="H123" s="14"/>
      <c r="I123" s="14"/>
      <c r="J123" s="14"/>
      <c r="K123" s="14"/>
      <c r="L123" s="14"/>
      <c r="M123" s="151">
        <f>SUM(M120:M122)</f>
        <v>4206.1073413509948</v>
      </c>
      <c r="N123" s="151">
        <f t="shared" ref="N123:O123" si="22">SUM(N120:N122)</f>
        <v>-4306.724100675001</v>
      </c>
      <c r="O123" s="151">
        <f t="shared" si="22"/>
        <v>176.53561195217162</v>
      </c>
      <c r="P123" s="14"/>
      <c r="Q123" s="151">
        <f>SUM(Q120:Q122)</f>
        <v>3152.465276360635</v>
      </c>
      <c r="R123" s="151">
        <f>SUM(R120:R122)</f>
        <v>-4153.5283204302978</v>
      </c>
      <c r="S123" s="19"/>
      <c r="T123" s="19"/>
    </row>
    <row r="124" spans="1:20" ht="15" customHeight="1" x14ac:dyDescent="0.3">
      <c r="A124" s="14"/>
      <c r="B124" s="14"/>
      <c r="C124" s="19"/>
      <c r="D124" s="19"/>
      <c r="E124" s="152" t="s">
        <v>40</v>
      </c>
      <c r="F124" s="153"/>
      <c r="G124" s="153"/>
      <c r="H124" s="153"/>
      <c r="I124" s="153"/>
      <c r="J124" s="153"/>
      <c r="K124" s="153"/>
      <c r="L124" s="153"/>
      <c r="M124" s="156">
        <f>IF(M123&gt;0,M123*(0.124+0.15+0.04),0)</f>
        <v>1320.7177051842125</v>
      </c>
      <c r="N124" s="156">
        <f>IF(N123&gt;0,N123*(0.124+0.15+0.04),0)</f>
        <v>0</v>
      </c>
      <c r="O124" s="156">
        <f>IF(O123&gt;0,O123*(0.124+0.15+0.04),0)</f>
        <v>55.432182152981888</v>
      </c>
      <c r="P124" s="153"/>
      <c r="Q124" s="156">
        <f>IF(Q123&gt;0,Q123*(0.124+0.15+0.04),0)</f>
        <v>989.8740967772394</v>
      </c>
      <c r="R124" s="156">
        <f>IF(R123&gt;0,R123*(0.124+0.15+0.04),0)</f>
        <v>0</v>
      </c>
      <c r="S124" s="19"/>
      <c r="T124" s="19"/>
    </row>
    <row r="125" spans="1:20" ht="15" customHeight="1" x14ac:dyDescent="0.3">
      <c r="A125" s="14"/>
      <c r="B125" s="14"/>
      <c r="C125" s="19"/>
      <c r="D125" s="19"/>
      <c r="E125" s="157" t="s">
        <v>41</v>
      </c>
      <c r="F125" s="14"/>
      <c r="G125" s="14"/>
      <c r="H125" s="14"/>
      <c r="I125" s="14"/>
      <c r="J125" s="14"/>
      <c r="K125" s="14"/>
      <c r="L125" s="14"/>
      <c r="M125" s="158">
        <f>M123-M124</f>
        <v>2885.3896361667821</v>
      </c>
      <c r="N125" s="158">
        <f t="shared" ref="N125:O125" si="23">N123-N124</f>
        <v>-4306.724100675001</v>
      </c>
      <c r="O125" s="158">
        <f t="shared" si="23"/>
        <v>121.10342979918974</v>
      </c>
      <c r="P125" s="14"/>
      <c r="Q125" s="158">
        <f>Q123-Q124</f>
        <v>2162.5911795833954</v>
      </c>
      <c r="R125" s="158">
        <f>R123-R124</f>
        <v>-4153.5283204302978</v>
      </c>
      <c r="S125" s="19"/>
      <c r="T125" s="19"/>
    </row>
    <row r="126" spans="1:20" ht="15" customHeight="1" thickBot="1" x14ac:dyDescent="0.35">
      <c r="A126" s="14"/>
      <c r="B126" s="14"/>
      <c r="C126" s="19"/>
      <c r="D126" s="19"/>
      <c r="E126" s="157" t="s">
        <v>68</v>
      </c>
      <c r="F126" s="14"/>
      <c r="G126" s="14"/>
      <c r="H126" s="14"/>
      <c r="I126" s="14"/>
      <c r="J126" s="14"/>
      <c r="K126" s="14"/>
      <c r="L126" s="14"/>
      <c r="M126" s="151">
        <v>0</v>
      </c>
      <c r="N126" s="151">
        <v>0</v>
      </c>
      <c r="O126" s="151">
        <v>0</v>
      </c>
      <c r="P126" s="14"/>
      <c r="Q126" s="151">
        <f>IF(E119=$R$19,$I$8*$I$46,0)</f>
        <v>0</v>
      </c>
      <c r="R126" s="151">
        <v>0</v>
      </c>
      <c r="S126" s="19"/>
      <c r="T126" s="19"/>
    </row>
    <row r="127" spans="1:20" ht="15" customHeight="1" thickBot="1" x14ac:dyDescent="0.35">
      <c r="A127" s="14"/>
      <c r="B127" s="14"/>
      <c r="C127" s="19"/>
      <c r="D127" s="132"/>
      <c r="E127" s="133" t="s">
        <v>77</v>
      </c>
      <c r="F127" s="134"/>
      <c r="G127" s="134"/>
      <c r="H127" s="134"/>
      <c r="I127" s="134"/>
      <c r="J127" s="134"/>
      <c r="K127" s="135"/>
      <c r="L127" s="19"/>
      <c r="M127" s="163"/>
      <c r="N127" s="164"/>
      <c r="O127" s="164"/>
      <c r="P127" s="19"/>
      <c r="Q127" s="164"/>
      <c r="R127" s="164"/>
      <c r="S127" s="19"/>
      <c r="T127" s="19"/>
    </row>
    <row r="128" spans="1:20" ht="15" customHeight="1" x14ac:dyDescent="0.3">
      <c r="A128" s="14"/>
      <c r="B128" s="14"/>
      <c r="C128" s="19"/>
      <c r="D128" s="138"/>
      <c r="E128" s="165" t="s">
        <v>1</v>
      </c>
      <c r="F128" s="140"/>
      <c r="G128" s="140"/>
      <c r="H128" s="140"/>
      <c r="I128" s="140"/>
      <c r="J128" s="140"/>
      <c r="K128" s="140"/>
      <c r="L128" s="134"/>
      <c r="M128" s="170">
        <f>IF($Q126&gt;0,$I$8*$I$46,$M115+$M126)</f>
        <v>100000</v>
      </c>
      <c r="N128" s="170">
        <f t="shared" ref="N128:O128" si="24">IF($Q126&gt;0,$I$8*$I$46,$M115+$M126)</f>
        <v>100000</v>
      </c>
      <c r="O128" s="170">
        <f t="shared" si="24"/>
        <v>100000</v>
      </c>
      <c r="P128" s="134"/>
      <c r="Q128" s="141">
        <f>Q115+Q126</f>
        <v>100000</v>
      </c>
      <c r="R128" s="141">
        <f>R115+R126</f>
        <v>0</v>
      </c>
      <c r="S128" s="135"/>
      <c r="T128" s="19"/>
    </row>
    <row r="129" spans="1:20" ht="15" customHeight="1" x14ac:dyDescent="0.3">
      <c r="A129" s="14"/>
      <c r="B129" s="14"/>
      <c r="C129" s="19"/>
      <c r="D129" s="138"/>
      <c r="E129" s="166" t="s">
        <v>55</v>
      </c>
      <c r="F129" s="140"/>
      <c r="G129" s="140"/>
      <c r="H129" s="140"/>
      <c r="I129" s="140"/>
      <c r="J129" s="140"/>
      <c r="K129" s="140"/>
      <c r="L129" s="140"/>
      <c r="M129" s="171">
        <f>M116+M125-M126</f>
        <v>19373.976944246333</v>
      </c>
      <c r="N129" s="171">
        <f t="shared" ref="N129:O129" si="25">N116+N125-N126</f>
        <v>-132102.47949567501</v>
      </c>
      <c r="O129" s="171">
        <f t="shared" si="25"/>
        <v>-58701.425617090477</v>
      </c>
      <c r="P129" s="140"/>
      <c r="Q129" s="171">
        <f>Q116+Q125-Q126</f>
        <v>-10876.404568714526</v>
      </c>
      <c r="R129" s="171">
        <f>R116+R125-R126</f>
        <v>63564.206045145882</v>
      </c>
      <c r="S129" s="143"/>
      <c r="T129" s="19"/>
    </row>
    <row r="130" spans="1:20" ht="15" customHeight="1" thickBot="1" x14ac:dyDescent="0.35">
      <c r="A130" s="14"/>
      <c r="B130" s="14"/>
      <c r="C130" s="19"/>
      <c r="D130" s="167"/>
      <c r="E130" s="145" t="s">
        <v>17</v>
      </c>
      <c r="F130" s="146"/>
      <c r="G130" s="146"/>
      <c r="H130" s="146"/>
      <c r="I130" s="146"/>
      <c r="J130" s="146"/>
      <c r="K130" s="146"/>
      <c r="L130" s="146"/>
      <c r="M130" s="172">
        <f>SUM(M128:M129)</f>
        <v>119373.97694424633</v>
      </c>
      <c r="N130" s="172">
        <f t="shared" ref="N130:O130" si="26">SUM(N128:N129)</f>
        <v>-32102.479495675012</v>
      </c>
      <c r="O130" s="172">
        <f t="shared" si="26"/>
        <v>41298.574382909523</v>
      </c>
      <c r="P130" s="146"/>
      <c r="Q130" s="172">
        <f>SUM(Q128:Q129)</f>
        <v>89123.595431285474</v>
      </c>
      <c r="R130" s="172">
        <f>SUM(R128:R129)</f>
        <v>63564.206045145882</v>
      </c>
      <c r="S130" s="148"/>
      <c r="T130" s="19"/>
    </row>
    <row r="131" spans="1:20" ht="9.9" customHeight="1" thickBot="1" x14ac:dyDescent="0.35">
      <c r="A131" s="14"/>
      <c r="B131" s="14"/>
      <c r="C131" s="19"/>
      <c r="D131" s="19"/>
      <c r="E131" s="103"/>
      <c r="F131" s="14"/>
      <c r="G131" s="14"/>
      <c r="H131" s="14"/>
      <c r="I131" s="14"/>
      <c r="J131" s="14"/>
      <c r="K131" s="14"/>
      <c r="L131" s="14"/>
      <c r="M131" s="103"/>
      <c r="N131" s="103"/>
      <c r="O131" s="103"/>
      <c r="P131" s="14"/>
      <c r="Q131" s="103"/>
      <c r="R131" s="103"/>
      <c r="S131" s="19"/>
      <c r="T131" s="19"/>
    </row>
    <row r="132" spans="1:20" ht="15" thickBot="1" x14ac:dyDescent="0.35">
      <c r="A132" s="14"/>
      <c r="B132" s="14"/>
      <c r="C132" s="19"/>
      <c r="D132" s="174"/>
      <c r="E132" s="175" t="s">
        <v>129</v>
      </c>
      <c r="F132" s="176"/>
      <c r="G132" s="176"/>
      <c r="H132" s="176"/>
      <c r="I132" s="176"/>
      <c r="J132" s="176"/>
      <c r="K132" s="177"/>
      <c r="L132" s="19"/>
      <c r="M132" s="106"/>
      <c r="N132" s="106"/>
      <c r="O132" s="106"/>
      <c r="P132" s="19"/>
      <c r="Q132" s="106"/>
      <c r="R132" s="164"/>
      <c r="S132" s="131"/>
      <c r="T132" s="19"/>
    </row>
    <row r="133" spans="1:20" ht="14.4" x14ac:dyDescent="0.3">
      <c r="A133" s="14"/>
      <c r="B133" s="14"/>
      <c r="C133" s="19"/>
      <c r="D133" s="178"/>
      <c r="E133" s="179" t="s">
        <v>69</v>
      </c>
      <c r="F133" s="180"/>
      <c r="G133" s="180"/>
      <c r="H133" s="180"/>
      <c r="I133" s="180"/>
      <c r="J133" s="180"/>
      <c r="K133" s="180"/>
      <c r="L133" s="176"/>
      <c r="M133" s="181">
        <f>M104-M65</f>
        <v>68219.917027382253</v>
      </c>
      <c r="N133" s="181">
        <f>N104-N65</f>
        <v>-69159.695500000002</v>
      </c>
      <c r="O133" s="181">
        <f>O104-O65</f>
        <v>-4346.2754824999865</v>
      </c>
      <c r="P133" s="176"/>
      <c r="Q133" s="181">
        <f>Q104-Q65</f>
        <v>39482.914246093758</v>
      </c>
      <c r="R133" s="182">
        <f>R104-R65</f>
        <v>26412.172058593758</v>
      </c>
      <c r="S133" s="183"/>
      <c r="T133" s="19"/>
    </row>
    <row r="134" spans="1:20" ht="14.4" x14ac:dyDescent="0.3">
      <c r="A134" s="14"/>
      <c r="B134" s="14"/>
      <c r="C134" s="19"/>
      <c r="D134" s="178"/>
      <c r="E134" s="179" t="s">
        <v>130</v>
      </c>
      <c r="F134" s="180"/>
      <c r="G134" s="180"/>
      <c r="H134" s="180"/>
      <c r="I134" s="180"/>
      <c r="J134" s="180"/>
      <c r="K134" s="180"/>
      <c r="L134" s="180"/>
      <c r="M134" s="264">
        <f>M133/M65</f>
        <v>1.5023828119309262</v>
      </c>
      <c r="N134" s="264">
        <f t="shared" ref="N134:R134" si="27">N133/N65</f>
        <v>-1.5230792168197929</v>
      </c>
      <c r="O134" s="264">
        <f t="shared" si="27"/>
        <v>-9.5716469109803221E-2</v>
      </c>
      <c r="P134" s="264" t="e">
        <f t="shared" si="27"/>
        <v>#DIV/0!</v>
      </c>
      <c r="Q134" s="264">
        <f t="shared" si="27"/>
        <v>0.86951808669694797</v>
      </c>
      <c r="R134" s="264">
        <f t="shared" si="27"/>
        <v>0.58166581045043209</v>
      </c>
      <c r="S134" s="183"/>
      <c r="T134" s="19"/>
    </row>
    <row r="135" spans="1:20" ht="15.75" customHeight="1" thickBot="1" x14ac:dyDescent="0.35">
      <c r="A135" s="14"/>
      <c r="B135" s="14"/>
      <c r="C135" s="19"/>
      <c r="D135" s="184"/>
      <c r="E135" s="185" t="s">
        <v>70</v>
      </c>
      <c r="F135" s="186"/>
      <c r="G135" s="186"/>
      <c r="H135" s="186"/>
      <c r="I135" s="186"/>
      <c r="J135" s="186"/>
      <c r="K135" s="186"/>
      <c r="L135" s="186"/>
      <c r="M135" s="187">
        <f>M133/$I$8</f>
        <v>682.19917027382257</v>
      </c>
      <c r="N135" s="187">
        <f t="shared" ref="N135:O135" si="28">N133/$I$8</f>
        <v>-691.59695499999998</v>
      </c>
      <c r="O135" s="187">
        <f t="shared" si="28"/>
        <v>-43.462754824999863</v>
      </c>
      <c r="P135" s="186"/>
      <c r="Q135" s="187">
        <f>Q133/$I$8</f>
        <v>394.82914246093759</v>
      </c>
      <c r="R135" s="187">
        <f>R133/$I$8</f>
        <v>264.12172058593757</v>
      </c>
      <c r="S135" s="188"/>
      <c r="T135" s="19"/>
    </row>
    <row r="136" spans="1:20" ht="14.4" x14ac:dyDescent="0.3">
      <c r="A136" s="14"/>
      <c r="B136" s="14"/>
      <c r="C136" s="19"/>
      <c r="D136" s="19"/>
      <c r="E136" s="242"/>
      <c r="F136" s="14"/>
      <c r="G136" s="14"/>
      <c r="H136" s="14"/>
      <c r="I136" s="14"/>
      <c r="J136" s="14"/>
      <c r="K136" s="14"/>
      <c r="L136" s="14"/>
      <c r="M136" s="243"/>
      <c r="N136" s="244"/>
      <c r="O136" s="244"/>
      <c r="P136" s="244"/>
      <c r="Q136" s="14"/>
      <c r="R136" s="244"/>
      <c r="S136" s="19"/>
      <c r="T136" s="19"/>
    </row>
    <row r="137" spans="1:20" ht="15.75" customHeight="1" x14ac:dyDescent="0.3">
      <c r="C137" s="50"/>
      <c r="D137" s="50"/>
      <c r="E137" s="269"/>
      <c r="F137" s="269"/>
      <c r="G137" s="269"/>
      <c r="H137" s="269"/>
      <c r="I137" s="269"/>
      <c r="J137" s="269"/>
      <c r="K137" s="269"/>
      <c r="M137" s="95"/>
      <c r="N137" s="84"/>
      <c r="O137" s="84"/>
      <c r="P137" s="84"/>
      <c r="R137" s="84"/>
      <c r="S137" s="50"/>
      <c r="T137" s="50"/>
    </row>
    <row r="138" spans="1:20" ht="14.4" x14ac:dyDescent="0.3">
      <c r="C138" s="50"/>
      <c r="D138" s="50"/>
      <c r="E138" s="94"/>
      <c r="M138" s="95"/>
      <c r="N138" s="84"/>
      <c r="O138" s="84"/>
      <c r="P138" s="84"/>
      <c r="R138" s="84"/>
      <c r="S138" s="50"/>
      <c r="T138" s="50"/>
    </row>
    <row r="139" spans="1:20" ht="14.4" x14ac:dyDescent="0.3">
      <c r="C139" s="50"/>
      <c r="D139" s="50"/>
      <c r="E139" s="96"/>
      <c r="M139" s="96"/>
      <c r="N139" s="96"/>
      <c r="O139" s="96"/>
      <c r="P139" s="96"/>
      <c r="R139" s="96"/>
      <c r="S139" s="50"/>
      <c r="T139" s="50"/>
    </row>
    <row r="140" spans="1:20" ht="14.4" x14ac:dyDescent="0.3">
      <c r="C140" s="50"/>
      <c r="D140" s="50"/>
      <c r="E140" s="96"/>
      <c r="M140" s="96"/>
      <c r="N140" s="96"/>
      <c r="O140" s="96"/>
      <c r="P140" s="96"/>
      <c r="R140" s="96"/>
      <c r="S140" s="50"/>
      <c r="T140" s="50"/>
    </row>
    <row r="141" spans="1:20" ht="14.4" x14ac:dyDescent="0.3">
      <c r="C141" s="50"/>
      <c r="D141" s="50"/>
      <c r="E141" s="96"/>
      <c r="M141" s="96"/>
      <c r="N141" s="96"/>
      <c r="O141" s="96"/>
      <c r="P141" s="96"/>
      <c r="R141" s="96"/>
      <c r="S141" s="50"/>
      <c r="T141" s="50"/>
    </row>
    <row r="142" spans="1:20" ht="14.4" x14ac:dyDescent="0.3">
      <c r="C142" s="50"/>
      <c r="D142" s="50"/>
      <c r="E142" s="96"/>
      <c r="M142" s="96"/>
      <c r="N142" s="96"/>
      <c r="O142" s="96"/>
      <c r="P142" s="96"/>
      <c r="R142" s="96"/>
      <c r="S142" s="50"/>
      <c r="T142" s="50"/>
    </row>
    <row r="143" spans="1:20" ht="14.4" x14ac:dyDescent="0.3">
      <c r="C143" s="50"/>
      <c r="D143" s="50"/>
      <c r="E143" s="96"/>
      <c r="M143" s="96"/>
      <c r="N143" s="96"/>
      <c r="O143" s="96"/>
      <c r="P143" s="96"/>
      <c r="R143" s="96"/>
      <c r="S143" s="50"/>
      <c r="T143" s="50"/>
    </row>
    <row r="144" spans="1:20" ht="14.4" x14ac:dyDescent="0.3">
      <c r="C144" s="50"/>
      <c r="D144" s="50"/>
      <c r="E144" s="96"/>
      <c r="M144" s="96"/>
      <c r="N144" s="96"/>
      <c r="O144" s="96"/>
      <c r="P144" s="96"/>
      <c r="R144" s="96"/>
      <c r="S144" s="50"/>
      <c r="T144" s="50"/>
    </row>
    <row r="145" spans="3:20" ht="14.4" x14ac:dyDescent="0.3">
      <c r="C145" s="50"/>
      <c r="D145" s="50"/>
      <c r="E145" s="96"/>
      <c r="M145" s="96"/>
      <c r="N145" s="96"/>
      <c r="O145" s="96"/>
      <c r="P145" s="96"/>
      <c r="R145" s="96"/>
      <c r="S145" s="50"/>
      <c r="T145" s="50"/>
    </row>
    <row r="146" spans="3:20" ht="14.4" x14ac:dyDescent="0.3">
      <c r="C146" s="50"/>
      <c r="D146" s="50"/>
      <c r="E146" s="96"/>
      <c r="M146" s="96"/>
      <c r="N146" s="96"/>
      <c r="O146" s="96"/>
      <c r="P146" s="96"/>
      <c r="R146" s="96"/>
      <c r="S146" s="50"/>
      <c r="T146" s="50"/>
    </row>
    <row r="147" spans="3:20" ht="14.4" x14ac:dyDescent="0.3">
      <c r="C147" s="50"/>
      <c r="D147" s="50"/>
      <c r="E147" s="96"/>
      <c r="M147" s="96"/>
      <c r="N147" s="96"/>
      <c r="O147" s="96"/>
      <c r="P147" s="96"/>
      <c r="R147" s="96"/>
      <c r="S147" s="50"/>
      <c r="T147" s="50"/>
    </row>
    <row r="148" spans="3:20" ht="14.4" x14ac:dyDescent="0.3">
      <c r="C148" s="50"/>
      <c r="D148" s="50"/>
      <c r="E148" s="69"/>
      <c r="M148" s="69"/>
      <c r="N148" s="13"/>
      <c r="O148" s="13"/>
      <c r="P148" s="13"/>
      <c r="Q148" s="13"/>
      <c r="S148" s="50"/>
      <c r="T148" s="50"/>
    </row>
    <row r="149" spans="3:20" ht="14.4" x14ac:dyDescent="0.3">
      <c r="C149" s="50"/>
      <c r="D149" s="50"/>
      <c r="E149" s="69"/>
      <c r="M149" s="69"/>
      <c r="N149" s="13"/>
      <c r="O149" s="13"/>
      <c r="P149" s="13"/>
      <c r="Q149" s="13"/>
      <c r="S149" s="50"/>
      <c r="T149" s="50"/>
    </row>
    <row r="150" spans="3:20" x14ac:dyDescent="0.25">
      <c r="C150" s="50"/>
      <c r="D150" s="50"/>
      <c r="E150" s="50"/>
      <c r="S150" s="50"/>
      <c r="T150" s="50"/>
    </row>
    <row r="151" spans="3:20" x14ac:dyDescent="0.25">
      <c r="C151" s="50"/>
      <c r="D151" s="50"/>
      <c r="E151" s="50"/>
      <c r="S151" s="50"/>
      <c r="T151" s="50"/>
    </row>
    <row r="152" spans="3:20" x14ac:dyDescent="0.25">
      <c r="C152" s="50"/>
      <c r="D152" s="50"/>
      <c r="S152" s="50"/>
      <c r="T152" s="50"/>
    </row>
    <row r="153" spans="3:20" x14ac:dyDescent="0.25">
      <c r="C153" s="50"/>
      <c r="D153" s="50"/>
      <c r="S153" s="50"/>
      <c r="T153" s="50"/>
    </row>
    <row r="154" spans="3:20" x14ac:dyDescent="0.25">
      <c r="C154" s="50"/>
      <c r="D154" s="50"/>
      <c r="S154" s="50"/>
      <c r="T154" s="50"/>
    </row>
    <row r="155" spans="3:20" x14ac:dyDescent="0.25">
      <c r="C155" s="50"/>
      <c r="D155" s="50"/>
      <c r="S155" s="50"/>
      <c r="T155" s="50"/>
    </row>
  </sheetData>
  <sheetProtection password="CA5F" sheet="1" objects="1" scenarios="1"/>
  <mergeCells count="12">
    <mergeCell ref="E137:K137"/>
    <mergeCell ref="C2:O2"/>
    <mergeCell ref="C6:O6"/>
    <mergeCell ref="M20:Q21"/>
    <mergeCell ref="Q24:R24"/>
    <mergeCell ref="Q31:R31"/>
    <mergeCell ref="Q42:R42"/>
    <mergeCell ref="C47:I51"/>
    <mergeCell ref="P57:R57"/>
    <mergeCell ref="L58:M58"/>
    <mergeCell ref="K59:M59"/>
    <mergeCell ref="V82:Z83"/>
  </mergeCells>
  <conditionalFormatting sqref="I36">
    <cfRule type="cellIs" dxfId="0" priority="1" operator="lessThan">
      <formula>0</formula>
    </cfRule>
  </conditionalFormatting>
  <printOptions horizontalCentered="1"/>
  <pageMargins left="0.5" right="0.5" top="0.5" bottom="0.5" header="0.3" footer="0.3"/>
  <pageSetup scale="85" fitToHeight="2" orientation="portrait" horizontalDpi="4294967293" verticalDpi="300" r:id="rId1"/>
  <headerFooter>
    <oddFooter>&amp;Lwww.coopext.colostate.edu/ABM/</oddFooter>
  </headerFooter>
  <rowBreaks count="2" manualBreakCount="2">
    <brk id="55" min="1" max="18" man="1"/>
    <brk id="105" min="1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Strategies</vt:lpstr>
      <vt:lpstr>Cows Increase in Value</vt:lpstr>
      <vt:lpstr>'Cows Increase in Value'!Print_Area</vt:lpstr>
      <vt:lpstr>Strategies!Print_Area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Tranel</dc:creator>
  <cp:lastModifiedBy>Rod</cp:lastModifiedBy>
  <cp:lastPrinted>2011-08-18T20:56:42Z</cp:lastPrinted>
  <dcterms:created xsi:type="dcterms:W3CDTF">2011-06-21T14:11:52Z</dcterms:created>
  <dcterms:modified xsi:type="dcterms:W3CDTF">2012-05-24T17:37:30Z</dcterms:modified>
</cp:coreProperties>
</file>