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8.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colostate-my.sharepoint.com/personal/dhoag_colostate_edu/Documents/work/Extension/2025/"/>
    </mc:Choice>
  </mc:AlternateContent>
  <xr:revisionPtr revIDLastSave="12195" documentId="13_ncr:1_{BD179EBC-3B31-4317-B15E-ED5985C8C399}" xr6:coauthVersionLast="47" xr6:coauthVersionMax="47" xr10:uidLastSave="{7E05D3F7-E73B-461F-B650-D8B2901FB0D0}"/>
  <bookViews>
    <workbookView xWindow="-28920" yWindow="-120" windowWidth="29040" windowHeight="15720" firstSheet="1" activeTab="7" xr2:uid="{A4E6CB48-A85E-41B7-863E-E5EC0BD83A15}"/>
  </bookViews>
  <sheets>
    <sheet name="HomePage" sheetId="9" r:id="rId1"/>
    <sheet name="Sensitivity Tables" sheetId="14" r:id="rId2"/>
    <sheet name="Mult. Animal Pred." sheetId="16" r:id="rId3"/>
    <sheet name="Turbo Fladry" sheetId="3" r:id="rId4"/>
    <sheet name="Night Penning" sheetId="12" r:id="rId5"/>
    <sheet name="Range Riding" sheetId="1" r:id="rId6"/>
    <sheet name="Carcass Composting" sheetId="2" r:id="rId7"/>
    <sheet name="Gaurdian Dogs" sheetId="8" r:id="rId8"/>
    <sheet name="Deterrent Devices" sheetId="4" r:id="rId9"/>
    <sheet name="List" sheetId="10" state="hidden" r:id="rId10"/>
  </sheets>
  <definedNames>
    <definedName name="_AtRisk_ReportsSetting_ReportGraphOptions" hidden="1">"REP:VER:8.9.0GRA:OUT:00INS:00SUM:T00DET:T00SCE:02SC1:33DAT:2|TRUE,.75,1|TRUE,0,.25|TRUE,.9,1SE1:38DAT:3,10,2,.95,5,16,FALSE,0,TRUE,TRUE,TRUESE2:38DAT:3,10,2,.95,5,16,FALSE,0,TRUE,TRUE,TRUETSI:002SDA:FF"</definedName>
    <definedName name="_AtRisk_ReportsSetting_ReportMulitSelections" hidden="1">"REP:VER:8.9.0MUL:OUT:T12INS:T11SUM:T10DET:T10SEN:T11SCE:T11TEM:FSDA:T10"</definedName>
    <definedName name="_AtRisk_ReportsSetting_ReportOptions" hidden="1">"REP:VER:8.9.0OPT:RAP:02RWE:00RLS:04ROT:00RST:00RRT:01AGR:FAFN:105DAT:C:\Users\miagm\OneDrive\Desktop\Wolf\@Risk\Report-Wolf Mitigation Enterprise Budgets with MONTE CARLO.pdfOGR:T"</definedName>
    <definedName name="_AtRisk_ReportsSetting_ReportSelectedSimulationsDET" hidden="1">"AQA="</definedName>
    <definedName name="_AtRisk_ReportsSetting_ReportSelectedSimulationsINS" hidden="1">"AQA="</definedName>
    <definedName name="_AtRisk_ReportsSetting_ReportSelectedSimulationsOUT" hidden="1">"AQA="</definedName>
    <definedName name="_AtRisk_ReportsSetting_ReportSelectedSimulationsSCE" hidden="1">"AQA="</definedName>
    <definedName name="_AtRisk_ReportsSetting_ReportSelectedSimulationsSDA" hidden="1">"AQA="</definedName>
    <definedName name="_AtRisk_ReportsSetting_ReportSelectedSimulationsSEN" hidden="1">"AQA="</definedName>
    <definedName name="_AtRisk_ReportsSetting_ReportSelectedSimulationsSUM" hidden="1">"AQA="</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-1</definedName>
    <definedName name="_AtRisk_SimSetting_MultipleCPUMode" hidden="1">2</definedName>
    <definedName name="_AtRisk_SimSetting_MultipleCPUModeV8" hidden="1">2</definedName>
    <definedName name="_AtRisk_SimSetting_RandomNumberGenerator"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1</definedName>
    <definedName name="_AtRisk_SimSetting_StdRecalcWithoutRiskStaticPercentile" hidden="1">0.5</definedName>
    <definedName name="Pal_Workbook_GUID" localSheetId="1" hidden="1">"ZTBTPYPVBTBBBK4MFZPU7GT7"</definedName>
    <definedName name="Pal_Workbook_GUID" hidden="1">"JP1GIVHJ293YSF5PLYBYJVSH"</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8</definedName>
    <definedName name="RiskMinimizeOnStart" hidden="1">FALSE</definedName>
    <definedName name="RiskMonitorConvergence" hidden="1">FALSE</definedName>
    <definedName name="RiskMultipleCPUSupportEnabled" hidden="1">FALSE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imulationResultsStorageLocation" hidden="1">"1"</definedName>
    <definedName name="RiskStandardRecalc" hidden="1">0</definedName>
    <definedName name="RiskUpdateDisplay" hidden="1">FALSE</definedName>
    <definedName name="RiskUseDifferentSeedForEachSim" hidden="1">FALSE</definedName>
    <definedName name="RiskUseFixedSeed" hidden="1">FALSE</definedName>
    <definedName name="RiskUseMultipleCPUs" hidden="1">FALSE</definedName>
    <definedName name="RR">'Range Riding'!$H$34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16" l="1"/>
  <c r="C16" i="16"/>
  <c r="N43" i="16" s="1"/>
  <c r="C17" i="16"/>
  <c r="C18" i="16"/>
  <c r="N93" i="16" s="1"/>
  <c r="C14" i="16"/>
  <c r="C29" i="14"/>
  <c r="C28" i="14"/>
  <c r="C27" i="14"/>
  <c r="C26" i="14"/>
  <c r="C25" i="14"/>
  <c r="P110" i="16"/>
  <c r="Q110" i="16"/>
  <c r="H111" i="16"/>
  <c r="I111" i="16"/>
  <c r="J111" i="16"/>
  <c r="K111" i="16"/>
  <c r="L111" i="16"/>
  <c r="M111" i="16"/>
  <c r="N111" i="16"/>
  <c r="O111" i="16"/>
  <c r="P111" i="16"/>
  <c r="Q111" i="16"/>
  <c r="O112" i="16"/>
  <c r="P112" i="16"/>
  <c r="Q112" i="16"/>
  <c r="H113" i="16"/>
  <c r="I113" i="16"/>
  <c r="J113" i="16"/>
  <c r="K113" i="16"/>
  <c r="L113" i="16"/>
  <c r="M113" i="16"/>
  <c r="N113" i="16"/>
  <c r="O113" i="16"/>
  <c r="P113" i="16"/>
  <c r="Q113" i="16"/>
  <c r="O114" i="16"/>
  <c r="P114" i="16"/>
  <c r="Q114" i="16"/>
  <c r="H115" i="16"/>
  <c r="I115" i="16"/>
  <c r="J115" i="16"/>
  <c r="K115" i="16"/>
  <c r="L115" i="16"/>
  <c r="M115" i="16"/>
  <c r="N115" i="16"/>
  <c r="O115" i="16"/>
  <c r="P115" i="16"/>
  <c r="Q115" i="16"/>
  <c r="O116" i="16"/>
  <c r="P116" i="16"/>
  <c r="Q116" i="16"/>
  <c r="H117" i="16"/>
  <c r="I117" i="16"/>
  <c r="J117" i="16"/>
  <c r="K117" i="16"/>
  <c r="L117" i="16"/>
  <c r="M117" i="16"/>
  <c r="N117" i="16"/>
  <c r="O117" i="16"/>
  <c r="P117" i="16"/>
  <c r="Q117" i="16"/>
  <c r="O118" i="16"/>
  <c r="P118" i="16"/>
  <c r="Q118" i="16"/>
  <c r="H119" i="16"/>
  <c r="I119" i="16"/>
  <c r="J119" i="16"/>
  <c r="K119" i="16"/>
  <c r="L119" i="16"/>
  <c r="M119" i="16"/>
  <c r="N119" i="16"/>
  <c r="O119" i="16"/>
  <c r="P119" i="16"/>
  <c r="Q119" i="16"/>
  <c r="G118" i="16"/>
  <c r="G119" i="16"/>
  <c r="G110" i="16"/>
  <c r="H93" i="16"/>
  <c r="I93" i="16"/>
  <c r="J93" i="16"/>
  <c r="K93" i="16"/>
  <c r="L93" i="16"/>
  <c r="M93" i="16"/>
  <c r="Q93" i="16"/>
  <c r="H94" i="16"/>
  <c r="I94" i="16"/>
  <c r="J94" i="16"/>
  <c r="K94" i="16"/>
  <c r="L94" i="16"/>
  <c r="M94" i="16"/>
  <c r="N94" i="16"/>
  <c r="O94" i="16"/>
  <c r="P94" i="16"/>
  <c r="Q94" i="16"/>
  <c r="H95" i="16"/>
  <c r="I95" i="16"/>
  <c r="J95" i="16"/>
  <c r="K95" i="16"/>
  <c r="L95" i="16"/>
  <c r="M95" i="16"/>
  <c r="Q95" i="16"/>
  <c r="H96" i="16"/>
  <c r="I96" i="16"/>
  <c r="J96" i="16"/>
  <c r="K96" i="16"/>
  <c r="L96" i="16"/>
  <c r="M96" i="16"/>
  <c r="N96" i="16"/>
  <c r="O96" i="16"/>
  <c r="P96" i="16"/>
  <c r="Q96" i="16"/>
  <c r="H97" i="16"/>
  <c r="I97" i="16"/>
  <c r="J97" i="16"/>
  <c r="K97" i="16"/>
  <c r="L97" i="16"/>
  <c r="M97" i="16"/>
  <c r="Q97" i="16"/>
  <c r="H98" i="16"/>
  <c r="I98" i="16"/>
  <c r="J98" i="16"/>
  <c r="K98" i="16"/>
  <c r="L98" i="16"/>
  <c r="M98" i="16"/>
  <c r="N98" i="16"/>
  <c r="O98" i="16"/>
  <c r="P98" i="16"/>
  <c r="Q98" i="16"/>
  <c r="H99" i="16"/>
  <c r="I99" i="16"/>
  <c r="J99" i="16"/>
  <c r="K99" i="16"/>
  <c r="L99" i="16"/>
  <c r="M99" i="16"/>
  <c r="Q99" i="16"/>
  <c r="H100" i="16"/>
  <c r="I100" i="16"/>
  <c r="J100" i="16"/>
  <c r="K100" i="16"/>
  <c r="L100" i="16"/>
  <c r="M100" i="16"/>
  <c r="N100" i="16"/>
  <c r="O100" i="16"/>
  <c r="P100" i="16"/>
  <c r="Q100" i="16"/>
  <c r="H101" i="16"/>
  <c r="I101" i="16"/>
  <c r="J101" i="16"/>
  <c r="K101" i="16"/>
  <c r="L101" i="16"/>
  <c r="M101" i="16"/>
  <c r="Q101" i="16"/>
  <c r="H102" i="16"/>
  <c r="I102" i="16"/>
  <c r="J102" i="16"/>
  <c r="K102" i="16"/>
  <c r="L102" i="16"/>
  <c r="M102" i="16"/>
  <c r="N102" i="16"/>
  <c r="O102" i="16"/>
  <c r="P102" i="16"/>
  <c r="Q102" i="16"/>
  <c r="G94" i="16"/>
  <c r="G95" i="16"/>
  <c r="G96" i="16"/>
  <c r="G97" i="16"/>
  <c r="G98" i="16"/>
  <c r="G99" i="16"/>
  <c r="G93" i="16"/>
  <c r="H76" i="16"/>
  <c r="I76" i="16"/>
  <c r="J76" i="16"/>
  <c r="K76" i="16"/>
  <c r="L76" i="16"/>
  <c r="M76" i="16"/>
  <c r="N76" i="16"/>
  <c r="O76" i="16"/>
  <c r="P76" i="16"/>
  <c r="Q76" i="16"/>
  <c r="H77" i="16"/>
  <c r="I77" i="16"/>
  <c r="J77" i="16"/>
  <c r="K77" i="16"/>
  <c r="L77" i="16"/>
  <c r="M77" i="16"/>
  <c r="Q77" i="16"/>
  <c r="H78" i="16"/>
  <c r="I78" i="16"/>
  <c r="J78" i="16"/>
  <c r="K78" i="16"/>
  <c r="L78" i="16"/>
  <c r="M78" i="16"/>
  <c r="N78" i="16"/>
  <c r="O78" i="16"/>
  <c r="P78" i="16"/>
  <c r="Q78" i="16"/>
  <c r="H79" i="16"/>
  <c r="I79" i="16"/>
  <c r="J79" i="16"/>
  <c r="K79" i="16"/>
  <c r="L79" i="16"/>
  <c r="M79" i="16"/>
  <c r="Q79" i="16"/>
  <c r="H80" i="16"/>
  <c r="I80" i="16"/>
  <c r="J80" i="16"/>
  <c r="K80" i="16"/>
  <c r="L80" i="16"/>
  <c r="M80" i="16"/>
  <c r="N80" i="16"/>
  <c r="O80" i="16"/>
  <c r="P80" i="16"/>
  <c r="Q80" i="16"/>
  <c r="H81" i="16"/>
  <c r="I81" i="16"/>
  <c r="J81" i="16"/>
  <c r="K81" i="16"/>
  <c r="L81" i="16"/>
  <c r="M81" i="16"/>
  <c r="Q81" i="16"/>
  <c r="H82" i="16"/>
  <c r="I82" i="16"/>
  <c r="J82" i="16"/>
  <c r="K82" i="16"/>
  <c r="L82" i="16"/>
  <c r="M82" i="16"/>
  <c r="N82" i="16"/>
  <c r="O82" i="16"/>
  <c r="P82" i="16"/>
  <c r="Q82" i="16"/>
  <c r="H83" i="16"/>
  <c r="I83" i="16"/>
  <c r="J83" i="16"/>
  <c r="K83" i="16"/>
  <c r="L83" i="16"/>
  <c r="M83" i="16"/>
  <c r="Q83" i="16"/>
  <c r="H84" i="16"/>
  <c r="I84" i="16"/>
  <c r="J84" i="16"/>
  <c r="K84" i="16"/>
  <c r="L84" i="16"/>
  <c r="M84" i="16"/>
  <c r="N84" i="16"/>
  <c r="O84" i="16"/>
  <c r="P84" i="16"/>
  <c r="Q84" i="16"/>
  <c r="H85" i="16"/>
  <c r="I85" i="16"/>
  <c r="J85" i="16"/>
  <c r="K85" i="16"/>
  <c r="L85" i="16"/>
  <c r="M85" i="16"/>
  <c r="Q85" i="16"/>
  <c r="G77" i="16"/>
  <c r="G78" i="16"/>
  <c r="G79" i="16"/>
  <c r="G80" i="16"/>
  <c r="G81" i="16"/>
  <c r="G82" i="16"/>
  <c r="G83" i="16"/>
  <c r="G84" i="16"/>
  <c r="G85" i="16"/>
  <c r="G76" i="16"/>
  <c r="H59" i="16"/>
  <c r="I59" i="16"/>
  <c r="J59" i="16"/>
  <c r="K59" i="16"/>
  <c r="L59" i="16"/>
  <c r="M59" i="16"/>
  <c r="N59" i="16"/>
  <c r="O59" i="16"/>
  <c r="P59" i="16"/>
  <c r="Q59" i="16"/>
  <c r="H60" i="16"/>
  <c r="I60" i="16"/>
  <c r="J60" i="16"/>
  <c r="K60" i="16"/>
  <c r="L60" i="16"/>
  <c r="M60" i="16"/>
  <c r="N60" i="16"/>
  <c r="O60" i="16"/>
  <c r="P60" i="16"/>
  <c r="Q60" i="16"/>
  <c r="H61" i="16"/>
  <c r="I61" i="16"/>
  <c r="J61" i="16"/>
  <c r="K61" i="16"/>
  <c r="L61" i="16"/>
  <c r="M61" i="16"/>
  <c r="N61" i="16"/>
  <c r="O61" i="16"/>
  <c r="P61" i="16"/>
  <c r="Q61" i="16"/>
  <c r="H62" i="16"/>
  <c r="I62" i="16"/>
  <c r="J62" i="16"/>
  <c r="K62" i="16"/>
  <c r="L62" i="16"/>
  <c r="M62" i="16"/>
  <c r="N62" i="16"/>
  <c r="O62" i="16"/>
  <c r="P62" i="16"/>
  <c r="Q62" i="16"/>
  <c r="H63" i="16"/>
  <c r="I63" i="16"/>
  <c r="J63" i="16"/>
  <c r="K63" i="16"/>
  <c r="L63" i="16"/>
  <c r="M63" i="16"/>
  <c r="N63" i="16"/>
  <c r="O63" i="16"/>
  <c r="P63" i="16"/>
  <c r="Q63" i="16"/>
  <c r="H64" i="16"/>
  <c r="I64" i="16"/>
  <c r="J64" i="16"/>
  <c r="K64" i="16"/>
  <c r="L64" i="16"/>
  <c r="M64" i="16"/>
  <c r="N64" i="16"/>
  <c r="O64" i="16"/>
  <c r="P64" i="16"/>
  <c r="Q64" i="16"/>
  <c r="H65" i="16"/>
  <c r="I65" i="16"/>
  <c r="J65" i="16"/>
  <c r="K65" i="16"/>
  <c r="L65" i="16"/>
  <c r="M65" i="16"/>
  <c r="N65" i="16"/>
  <c r="O65" i="16"/>
  <c r="P65" i="16"/>
  <c r="Q65" i="16"/>
  <c r="H66" i="16"/>
  <c r="I66" i="16"/>
  <c r="J66" i="16"/>
  <c r="K66" i="16"/>
  <c r="L66" i="16"/>
  <c r="M66" i="16"/>
  <c r="N66" i="16"/>
  <c r="O66" i="16"/>
  <c r="P66" i="16"/>
  <c r="Q66" i="16"/>
  <c r="H67" i="16"/>
  <c r="I67" i="16"/>
  <c r="J67" i="16"/>
  <c r="K67" i="16"/>
  <c r="L67" i="16"/>
  <c r="M67" i="16"/>
  <c r="N67" i="16"/>
  <c r="O67" i="16"/>
  <c r="P67" i="16"/>
  <c r="Q67" i="16"/>
  <c r="H68" i="16"/>
  <c r="I68" i="16"/>
  <c r="J68" i="16"/>
  <c r="K68" i="16"/>
  <c r="L68" i="16"/>
  <c r="M68" i="16"/>
  <c r="N68" i="16"/>
  <c r="O68" i="16"/>
  <c r="P68" i="16"/>
  <c r="Q68" i="16"/>
  <c r="G60" i="16"/>
  <c r="G61" i="16"/>
  <c r="G62" i="16"/>
  <c r="G63" i="16"/>
  <c r="G64" i="16"/>
  <c r="G65" i="16"/>
  <c r="G66" i="16"/>
  <c r="G67" i="16"/>
  <c r="G68" i="16"/>
  <c r="G59" i="16"/>
  <c r="H42" i="16"/>
  <c r="I42" i="16"/>
  <c r="J42" i="16"/>
  <c r="K42" i="16"/>
  <c r="L42" i="16"/>
  <c r="M42" i="16"/>
  <c r="N42" i="16"/>
  <c r="O42" i="16"/>
  <c r="P42" i="16"/>
  <c r="Q42" i="16"/>
  <c r="H43" i="16"/>
  <c r="I43" i="16"/>
  <c r="J43" i="16"/>
  <c r="K43" i="16"/>
  <c r="L43" i="16"/>
  <c r="M43" i="16"/>
  <c r="O43" i="16"/>
  <c r="Q43" i="16"/>
  <c r="H44" i="16"/>
  <c r="I44" i="16"/>
  <c r="J44" i="16"/>
  <c r="K44" i="16"/>
  <c r="L44" i="16"/>
  <c r="M44" i="16"/>
  <c r="N44" i="16"/>
  <c r="O44" i="16"/>
  <c r="P44" i="16"/>
  <c r="Q44" i="16"/>
  <c r="H45" i="16"/>
  <c r="I45" i="16"/>
  <c r="J45" i="16"/>
  <c r="K45" i="16"/>
  <c r="L45" i="16"/>
  <c r="M45" i="16"/>
  <c r="O45" i="16"/>
  <c r="Q45" i="16"/>
  <c r="H46" i="16"/>
  <c r="I46" i="16"/>
  <c r="J46" i="16"/>
  <c r="K46" i="16"/>
  <c r="L46" i="16"/>
  <c r="M46" i="16"/>
  <c r="N46" i="16"/>
  <c r="O46" i="16"/>
  <c r="P46" i="16"/>
  <c r="Q46" i="16"/>
  <c r="H47" i="16"/>
  <c r="I47" i="16"/>
  <c r="J47" i="16"/>
  <c r="K47" i="16"/>
  <c r="L47" i="16"/>
  <c r="M47" i="16"/>
  <c r="O47" i="16"/>
  <c r="Q47" i="16"/>
  <c r="H48" i="16"/>
  <c r="I48" i="16"/>
  <c r="J48" i="16"/>
  <c r="K48" i="16"/>
  <c r="L48" i="16"/>
  <c r="M48" i="16"/>
  <c r="N48" i="16"/>
  <c r="O48" i="16"/>
  <c r="P48" i="16"/>
  <c r="Q48" i="16"/>
  <c r="H49" i="16"/>
  <c r="I49" i="16"/>
  <c r="J49" i="16"/>
  <c r="K49" i="16"/>
  <c r="L49" i="16"/>
  <c r="M49" i="16"/>
  <c r="O49" i="16"/>
  <c r="Q49" i="16"/>
  <c r="H50" i="16"/>
  <c r="I50" i="16"/>
  <c r="J50" i="16"/>
  <c r="K50" i="16"/>
  <c r="L50" i="16"/>
  <c r="M50" i="16"/>
  <c r="N50" i="16"/>
  <c r="O50" i="16"/>
  <c r="P50" i="16"/>
  <c r="Q50" i="16"/>
  <c r="H51" i="16"/>
  <c r="I51" i="16"/>
  <c r="J51" i="16"/>
  <c r="K51" i="16"/>
  <c r="L51" i="16"/>
  <c r="M51" i="16"/>
  <c r="O51" i="16"/>
  <c r="Q51" i="16"/>
  <c r="G43" i="16"/>
  <c r="G44" i="16"/>
  <c r="G45" i="16"/>
  <c r="G46" i="16"/>
  <c r="G47" i="16"/>
  <c r="G48" i="16"/>
  <c r="G49" i="16"/>
  <c r="G50" i="16"/>
  <c r="G51" i="16"/>
  <c r="G42" i="16"/>
  <c r="H25" i="16"/>
  <c r="I25" i="16"/>
  <c r="J25" i="16"/>
  <c r="K25" i="16"/>
  <c r="L25" i="16"/>
  <c r="M25" i="16"/>
  <c r="N25" i="16"/>
  <c r="O25" i="16"/>
  <c r="P25" i="16"/>
  <c r="Q25" i="16"/>
  <c r="H26" i="16"/>
  <c r="I26" i="16"/>
  <c r="J26" i="16"/>
  <c r="K26" i="16"/>
  <c r="L26" i="16"/>
  <c r="M26" i="16"/>
  <c r="N26" i="16"/>
  <c r="O26" i="16"/>
  <c r="P26" i="16"/>
  <c r="Q26" i="16"/>
  <c r="H27" i="16"/>
  <c r="I27" i="16"/>
  <c r="J27" i="16"/>
  <c r="K27" i="16"/>
  <c r="L27" i="16"/>
  <c r="M27" i="16"/>
  <c r="N27" i="16"/>
  <c r="O27" i="16"/>
  <c r="P27" i="16"/>
  <c r="Q27" i="16"/>
  <c r="H28" i="16"/>
  <c r="I28" i="16"/>
  <c r="J28" i="16"/>
  <c r="K28" i="16"/>
  <c r="L28" i="16"/>
  <c r="M28" i="16"/>
  <c r="N28" i="16"/>
  <c r="O28" i="16"/>
  <c r="P28" i="16"/>
  <c r="Q28" i="16"/>
  <c r="H29" i="16"/>
  <c r="I29" i="16"/>
  <c r="J29" i="16"/>
  <c r="K29" i="16"/>
  <c r="L29" i="16"/>
  <c r="M29" i="16"/>
  <c r="N29" i="16"/>
  <c r="O29" i="16"/>
  <c r="P29" i="16"/>
  <c r="Q29" i="16"/>
  <c r="H30" i="16"/>
  <c r="I30" i="16"/>
  <c r="J30" i="16"/>
  <c r="K30" i="16"/>
  <c r="L30" i="16"/>
  <c r="M30" i="16"/>
  <c r="N30" i="16"/>
  <c r="O30" i="16"/>
  <c r="P30" i="16"/>
  <c r="Q30" i="16"/>
  <c r="H31" i="16"/>
  <c r="I31" i="16"/>
  <c r="J31" i="16"/>
  <c r="K31" i="16"/>
  <c r="L31" i="16"/>
  <c r="M31" i="16"/>
  <c r="N31" i="16"/>
  <c r="O31" i="16"/>
  <c r="P31" i="16"/>
  <c r="Q31" i="16"/>
  <c r="H32" i="16"/>
  <c r="I32" i="16"/>
  <c r="J32" i="16"/>
  <c r="K32" i="16"/>
  <c r="L32" i="16"/>
  <c r="M32" i="16"/>
  <c r="N32" i="16"/>
  <c r="O32" i="16"/>
  <c r="P32" i="16"/>
  <c r="Q32" i="16"/>
  <c r="H33" i="16"/>
  <c r="I33" i="16"/>
  <c r="J33" i="16"/>
  <c r="K33" i="16"/>
  <c r="L33" i="16"/>
  <c r="M33" i="16"/>
  <c r="N33" i="16"/>
  <c r="O33" i="16"/>
  <c r="P33" i="16"/>
  <c r="Q33" i="16"/>
  <c r="H34" i="16"/>
  <c r="I34" i="16"/>
  <c r="J34" i="16"/>
  <c r="K34" i="16"/>
  <c r="L34" i="16"/>
  <c r="M34" i="16"/>
  <c r="N34" i="16"/>
  <c r="O34" i="16"/>
  <c r="P34" i="16"/>
  <c r="Q34" i="16"/>
  <c r="G26" i="16"/>
  <c r="G27" i="16"/>
  <c r="G28" i="16"/>
  <c r="G29" i="16"/>
  <c r="G30" i="16"/>
  <c r="G31" i="16"/>
  <c r="G32" i="16"/>
  <c r="G33" i="16"/>
  <c r="G34" i="16"/>
  <c r="G25" i="16"/>
  <c r="G8" i="16"/>
  <c r="H8" i="16"/>
  <c r="I8" i="16"/>
  <c r="Q8" i="16"/>
  <c r="H9" i="16"/>
  <c r="I9" i="16"/>
  <c r="J9" i="16"/>
  <c r="K9" i="16"/>
  <c r="L9" i="16"/>
  <c r="M9" i="16"/>
  <c r="N9" i="16"/>
  <c r="O9" i="16"/>
  <c r="P9" i="16"/>
  <c r="Q9" i="16"/>
  <c r="H10" i="16"/>
  <c r="I10" i="16"/>
  <c r="Q10" i="16"/>
  <c r="H11" i="16"/>
  <c r="I11" i="16"/>
  <c r="J11" i="16"/>
  <c r="K11" i="16"/>
  <c r="L11" i="16"/>
  <c r="M11" i="16"/>
  <c r="N11" i="16"/>
  <c r="O11" i="16"/>
  <c r="P11" i="16"/>
  <c r="Q11" i="16"/>
  <c r="H12" i="16"/>
  <c r="I12" i="16"/>
  <c r="Q12" i="16"/>
  <c r="H13" i="16"/>
  <c r="I13" i="16"/>
  <c r="J13" i="16"/>
  <c r="K13" i="16"/>
  <c r="L13" i="16"/>
  <c r="M13" i="16"/>
  <c r="N13" i="16"/>
  <c r="O13" i="16"/>
  <c r="P13" i="16"/>
  <c r="Q13" i="16"/>
  <c r="H14" i="16"/>
  <c r="I14" i="16"/>
  <c r="Q14" i="16"/>
  <c r="H15" i="16"/>
  <c r="I15" i="16"/>
  <c r="J15" i="16"/>
  <c r="K15" i="16"/>
  <c r="L15" i="16"/>
  <c r="M15" i="16"/>
  <c r="N15" i="16"/>
  <c r="O15" i="16"/>
  <c r="P15" i="16"/>
  <c r="Q15" i="16"/>
  <c r="H16" i="16"/>
  <c r="I16" i="16"/>
  <c r="Q16" i="16"/>
  <c r="H17" i="16"/>
  <c r="I17" i="16"/>
  <c r="J17" i="16"/>
  <c r="K17" i="16"/>
  <c r="L17" i="16"/>
  <c r="M17" i="16"/>
  <c r="N17" i="16"/>
  <c r="O17" i="16"/>
  <c r="P17" i="16"/>
  <c r="Q17" i="16"/>
  <c r="G9" i="16"/>
  <c r="G10" i="16"/>
  <c r="O76" i="14"/>
  <c r="H36" i="1"/>
  <c r="R226" i="14"/>
  <c r="Q226" i="14"/>
  <c r="P226" i="14"/>
  <c r="O226" i="14"/>
  <c r="N226" i="14"/>
  <c r="M226" i="14"/>
  <c r="L226" i="14"/>
  <c r="K226" i="14"/>
  <c r="J226" i="14"/>
  <c r="I226" i="14"/>
  <c r="H226" i="14"/>
  <c r="R225" i="14"/>
  <c r="Q225" i="14"/>
  <c r="P225" i="14"/>
  <c r="O225" i="14"/>
  <c r="N225" i="14"/>
  <c r="M225" i="14"/>
  <c r="L225" i="14"/>
  <c r="K225" i="14"/>
  <c r="J225" i="14"/>
  <c r="I225" i="14"/>
  <c r="H225" i="14"/>
  <c r="R224" i="14"/>
  <c r="Q224" i="14"/>
  <c r="P224" i="14"/>
  <c r="O224" i="14"/>
  <c r="N224" i="14"/>
  <c r="M224" i="14"/>
  <c r="L224" i="14"/>
  <c r="K224" i="14"/>
  <c r="J224" i="14"/>
  <c r="I224" i="14"/>
  <c r="H224" i="14"/>
  <c r="R223" i="14"/>
  <c r="Q223" i="14"/>
  <c r="P223" i="14"/>
  <c r="O223" i="14"/>
  <c r="N223" i="14"/>
  <c r="M223" i="14"/>
  <c r="L223" i="14"/>
  <c r="K223" i="14"/>
  <c r="J223" i="14"/>
  <c r="I223" i="14"/>
  <c r="H223" i="14"/>
  <c r="R222" i="14"/>
  <c r="Q222" i="14"/>
  <c r="P222" i="14"/>
  <c r="O222" i="14"/>
  <c r="N222" i="14"/>
  <c r="M222" i="14"/>
  <c r="L222" i="14"/>
  <c r="K222" i="14"/>
  <c r="J222" i="14"/>
  <c r="I222" i="14"/>
  <c r="H222" i="14"/>
  <c r="R221" i="14"/>
  <c r="Q221" i="14"/>
  <c r="P221" i="14"/>
  <c r="O221" i="14"/>
  <c r="N221" i="14"/>
  <c r="M221" i="14"/>
  <c r="L221" i="14"/>
  <c r="K221" i="14"/>
  <c r="J221" i="14"/>
  <c r="I221" i="14"/>
  <c r="H221" i="14"/>
  <c r="R220" i="14"/>
  <c r="Q220" i="14"/>
  <c r="P220" i="14"/>
  <c r="O220" i="14"/>
  <c r="N220" i="14"/>
  <c r="M220" i="14"/>
  <c r="L220" i="14"/>
  <c r="K220" i="14"/>
  <c r="J220" i="14"/>
  <c r="I220" i="14"/>
  <c r="H220" i="14"/>
  <c r="R219" i="14"/>
  <c r="Q219" i="14"/>
  <c r="P219" i="14"/>
  <c r="O219" i="14"/>
  <c r="N219" i="14"/>
  <c r="M219" i="14"/>
  <c r="L219" i="14"/>
  <c r="K219" i="14"/>
  <c r="J219" i="14"/>
  <c r="I219" i="14"/>
  <c r="H219" i="14"/>
  <c r="R218" i="14"/>
  <c r="Q218" i="14"/>
  <c r="P218" i="14"/>
  <c r="O218" i="14"/>
  <c r="N218" i="14"/>
  <c r="M218" i="14"/>
  <c r="L218" i="14"/>
  <c r="K218" i="14"/>
  <c r="J218" i="14"/>
  <c r="I218" i="14"/>
  <c r="H218" i="14"/>
  <c r="R217" i="14"/>
  <c r="Q217" i="14"/>
  <c r="P217" i="14"/>
  <c r="O217" i="14"/>
  <c r="N217" i="14"/>
  <c r="M217" i="14"/>
  <c r="L217" i="14"/>
  <c r="K217" i="14"/>
  <c r="J217" i="14"/>
  <c r="I217" i="14"/>
  <c r="H217" i="14"/>
  <c r="R216" i="14"/>
  <c r="Q216" i="14"/>
  <c r="P216" i="14"/>
  <c r="O216" i="14"/>
  <c r="N216" i="14"/>
  <c r="M216" i="14"/>
  <c r="L216" i="14"/>
  <c r="K216" i="14"/>
  <c r="J216" i="14"/>
  <c r="I216" i="14"/>
  <c r="H216" i="14"/>
  <c r="R215" i="14"/>
  <c r="Q215" i="14"/>
  <c r="P215" i="14"/>
  <c r="O215" i="14"/>
  <c r="N215" i="14"/>
  <c r="M215" i="14"/>
  <c r="L215" i="14"/>
  <c r="K215" i="14"/>
  <c r="J215" i="14"/>
  <c r="I215" i="14"/>
  <c r="H215" i="14"/>
  <c r="R214" i="14"/>
  <c r="Q214" i="14"/>
  <c r="P214" i="14"/>
  <c r="O214" i="14"/>
  <c r="N214" i="14"/>
  <c r="M214" i="14"/>
  <c r="L214" i="14"/>
  <c r="K214" i="14"/>
  <c r="J214" i="14"/>
  <c r="I214" i="14"/>
  <c r="H214" i="14"/>
  <c r="R213" i="14"/>
  <c r="Q213" i="14"/>
  <c r="P213" i="14"/>
  <c r="O213" i="14"/>
  <c r="N213" i="14"/>
  <c r="M213" i="14"/>
  <c r="L213" i="14"/>
  <c r="K213" i="14"/>
  <c r="J213" i="14"/>
  <c r="I213" i="14"/>
  <c r="H213" i="14"/>
  <c r="R212" i="14"/>
  <c r="Q212" i="14"/>
  <c r="P212" i="14"/>
  <c r="O212" i="14"/>
  <c r="N212" i="14"/>
  <c r="M212" i="14"/>
  <c r="L212" i="14"/>
  <c r="K212" i="14"/>
  <c r="J212" i="14"/>
  <c r="I212" i="14"/>
  <c r="H212" i="14"/>
  <c r="R211" i="14"/>
  <c r="Q211" i="14"/>
  <c r="P211" i="14"/>
  <c r="O211" i="14"/>
  <c r="N211" i="14"/>
  <c r="M211" i="14"/>
  <c r="L211" i="14"/>
  <c r="K211" i="14"/>
  <c r="J211" i="14"/>
  <c r="I211" i="14"/>
  <c r="H211" i="14"/>
  <c r="R210" i="14"/>
  <c r="Q210" i="14"/>
  <c r="P210" i="14"/>
  <c r="O210" i="14"/>
  <c r="N210" i="14"/>
  <c r="M210" i="14"/>
  <c r="L210" i="14"/>
  <c r="K210" i="14"/>
  <c r="J210" i="14"/>
  <c r="I210" i="14"/>
  <c r="H210" i="14"/>
  <c r="R209" i="14"/>
  <c r="Q209" i="14"/>
  <c r="P209" i="14"/>
  <c r="O209" i="14"/>
  <c r="N209" i="14"/>
  <c r="M209" i="14"/>
  <c r="L209" i="14"/>
  <c r="K209" i="14"/>
  <c r="J209" i="14"/>
  <c r="I209" i="14"/>
  <c r="H209" i="14"/>
  <c r="R208" i="14"/>
  <c r="Q208" i="14"/>
  <c r="P208" i="14"/>
  <c r="O208" i="14"/>
  <c r="N208" i="14"/>
  <c r="M208" i="14"/>
  <c r="L208" i="14"/>
  <c r="K208" i="14"/>
  <c r="J208" i="14"/>
  <c r="I208" i="14"/>
  <c r="H208" i="14"/>
  <c r="R207" i="14"/>
  <c r="Q207" i="14"/>
  <c r="P207" i="14"/>
  <c r="O207" i="14"/>
  <c r="N207" i="14"/>
  <c r="M207" i="14"/>
  <c r="L207" i="14"/>
  <c r="K207" i="14"/>
  <c r="J207" i="14"/>
  <c r="I207" i="14"/>
  <c r="H207" i="14"/>
  <c r="R206" i="14"/>
  <c r="Q206" i="14"/>
  <c r="P206" i="14"/>
  <c r="O206" i="14"/>
  <c r="N206" i="14"/>
  <c r="M206" i="14"/>
  <c r="L206" i="14"/>
  <c r="K206" i="14"/>
  <c r="J206" i="14"/>
  <c r="I206" i="14"/>
  <c r="H206" i="14"/>
  <c r="R198" i="14"/>
  <c r="Q198" i="14"/>
  <c r="P198" i="14"/>
  <c r="O198" i="14"/>
  <c r="N198" i="14"/>
  <c r="M198" i="14"/>
  <c r="L198" i="14"/>
  <c r="K198" i="14"/>
  <c r="J198" i="14"/>
  <c r="I198" i="14"/>
  <c r="H198" i="14"/>
  <c r="R197" i="14"/>
  <c r="Q197" i="14"/>
  <c r="P197" i="14"/>
  <c r="O197" i="14"/>
  <c r="N197" i="14"/>
  <c r="M197" i="14"/>
  <c r="L197" i="14"/>
  <c r="K197" i="14"/>
  <c r="J197" i="14"/>
  <c r="I197" i="14"/>
  <c r="H197" i="14"/>
  <c r="R196" i="14"/>
  <c r="Q196" i="14"/>
  <c r="P196" i="14"/>
  <c r="O196" i="14"/>
  <c r="N196" i="14"/>
  <c r="M196" i="14"/>
  <c r="L196" i="14"/>
  <c r="K196" i="14"/>
  <c r="J196" i="14"/>
  <c r="I196" i="14"/>
  <c r="H196" i="14"/>
  <c r="R195" i="14"/>
  <c r="Q195" i="14"/>
  <c r="P195" i="14"/>
  <c r="O195" i="14"/>
  <c r="N195" i="14"/>
  <c r="M195" i="14"/>
  <c r="L195" i="14"/>
  <c r="K195" i="14"/>
  <c r="J195" i="14"/>
  <c r="I195" i="14"/>
  <c r="H195" i="14"/>
  <c r="R194" i="14"/>
  <c r="Q194" i="14"/>
  <c r="P194" i="14"/>
  <c r="O194" i="14"/>
  <c r="N194" i="14"/>
  <c r="M194" i="14"/>
  <c r="L194" i="14"/>
  <c r="K194" i="14"/>
  <c r="J194" i="14"/>
  <c r="I194" i="14"/>
  <c r="H194" i="14"/>
  <c r="R193" i="14"/>
  <c r="Q193" i="14"/>
  <c r="P193" i="14"/>
  <c r="O193" i="14"/>
  <c r="N193" i="14"/>
  <c r="M193" i="14"/>
  <c r="L193" i="14"/>
  <c r="K193" i="14"/>
  <c r="J193" i="14"/>
  <c r="I193" i="14"/>
  <c r="H193" i="14"/>
  <c r="R192" i="14"/>
  <c r="Q192" i="14"/>
  <c r="P192" i="14"/>
  <c r="O192" i="14"/>
  <c r="N192" i="14"/>
  <c r="M192" i="14"/>
  <c r="L192" i="14"/>
  <c r="K192" i="14"/>
  <c r="J192" i="14"/>
  <c r="I192" i="14"/>
  <c r="H192" i="14"/>
  <c r="R191" i="14"/>
  <c r="Q191" i="14"/>
  <c r="P191" i="14"/>
  <c r="O191" i="14"/>
  <c r="N191" i="14"/>
  <c r="M191" i="14"/>
  <c r="L191" i="14"/>
  <c r="K191" i="14"/>
  <c r="J191" i="14"/>
  <c r="I191" i="14"/>
  <c r="H191" i="14"/>
  <c r="R190" i="14"/>
  <c r="Q190" i="14"/>
  <c r="P190" i="14"/>
  <c r="O190" i="14"/>
  <c r="N190" i="14"/>
  <c r="M190" i="14"/>
  <c r="L190" i="14"/>
  <c r="K190" i="14"/>
  <c r="J190" i="14"/>
  <c r="I190" i="14"/>
  <c r="H190" i="14"/>
  <c r="R189" i="14"/>
  <c r="Q189" i="14"/>
  <c r="P189" i="14"/>
  <c r="O189" i="14"/>
  <c r="N189" i="14"/>
  <c r="M189" i="14"/>
  <c r="L189" i="14"/>
  <c r="K189" i="14"/>
  <c r="J189" i="14"/>
  <c r="I189" i="14"/>
  <c r="H189" i="14"/>
  <c r="R188" i="14"/>
  <c r="Q188" i="14"/>
  <c r="P188" i="14"/>
  <c r="O188" i="14"/>
  <c r="N188" i="14"/>
  <c r="M188" i="14"/>
  <c r="L188" i="14"/>
  <c r="K188" i="14"/>
  <c r="J188" i="14"/>
  <c r="I188" i="14"/>
  <c r="H188" i="14"/>
  <c r="R187" i="14"/>
  <c r="Q187" i="14"/>
  <c r="P187" i="14"/>
  <c r="O187" i="14"/>
  <c r="N187" i="14"/>
  <c r="M187" i="14"/>
  <c r="L187" i="14"/>
  <c r="K187" i="14"/>
  <c r="J187" i="14"/>
  <c r="I187" i="14"/>
  <c r="H187" i="14"/>
  <c r="R186" i="14"/>
  <c r="Q186" i="14"/>
  <c r="P186" i="14"/>
  <c r="O186" i="14"/>
  <c r="N186" i="14"/>
  <c r="M186" i="14"/>
  <c r="L186" i="14"/>
  <c r="K186" i="14"/>
  <c r="J186" i="14"/>
  <c r="I186" i="14"/>
  <c r="H186" i="14"/>
  <c r="R185" i="14"/>
  <c r="Q185" i="14"/>
  <c r="P185" i="14"/>
  <c r="O185" i="14"/>
  <c r="N185" i="14"/>
  <c r="M185" i="14"/>
  <c r="L185" i="14"/>
  <c r="K185" i="14"/>
  <c r="J185" i="14"/>
  <c r="I185" i="14"/>
  <c r="H185" i="14"/>
  <c r="R184" i="14"/>
  <c r="Q184" i="14"/>
  <c r="P184" i="14"/>
  <c r="O184" i="14"/>
  <c r="N184" i="14"/>
  <c r="M184" i="14"/>
  <c r="L184" i="14"/>
  <c r="K184" i="14"/>
  <c r="J184" i="14"/>
  <c r="I184" i="14"/>
  <c r="H184" i="14"/>
  <c r="R183" i="14"/>
  <c r="Q183" i="14"/>
  <c r="P183" i="14"/>
  <c r="O183" i="14"/>
  <c r="N183" i="14"/>
  <c r="M183" i="14"/>
  <c r="L183" i="14"/>
  <c r="K183" i="14"/>
  <c r="J183" i="14"/>
  <c r="I183" i="14"/>
  <c r="H183" i="14"/>
  <c r="R182" i="14"/>
  <c r="Q182" i="14"/>
  <c r="P182" i="14"/>
  <c r="O182" i="14"/>
  <c r="N182" i="14"/>
  <c r="M182" i="14"/>
  <c r="L182" i="14"/>
  <c r="K182" i="14"/>
  <c r="J182" i="14"/>
  <c r="I182" i="14"/>
  <c r="H182" i="14"/>
  <c r="R181" i="14"/>
  <c r="Q181" i="14"/>
  <c r="P181" i="14"/>
  <c r="O181" i="14"/>
  <c r="N181" i="14"/>
  <c r="M181" i="14"/>
  <c r="L181" i="14"/>
  <c r="K181" i="14"/>
  <c r="J181" i="14"/>
  <c r="I181" i="14"/>
  <c r="H181" i="14"/>
  <c r="R180" i="14"/>
  <c r="Q180" i="14"/>
  <c r="P180" i="14"/>
  <c r="O180" i="14"/>
  <c r="N180" i="14"/>
  <c r="M180" i="14"/>
  <c r="L180" i="14"/>
  <c r="K180" i="14"/>
  <c r="J180" i="14"/>
  <c r="I180" i="14"/>
  <c r="H180" i="14"/>
  <c r="R179" i="14"/>
  <c r="Q179" i="14"/>
  <c r="P179" i="14"/>
  <c r="O179" i="14"/>
  <c r="N179" i="14"/>
  <c r="M179" i="14"/>
  <c r="L179" i="14"/>
  <c r="K179" i="14"/>
  <c r="J179" i="14"/>
  <c r="I179" i="14"/>
  <c r="H179" i="14"/>
  <c r="R178" i="14"/>
  <c r="Q178" i="14"/>
  <c r="P178" i="14"/>
  <c r="O178" i="14"/>
  <c r="N178" i="14"/>
  <c r="M178" i="14"/>
  <c r="L178" i="14"/>
  <c r="K178" i="14"/>
  <c r="J178" i="14"/>
  <c r="I178" i="14"/>
  <c r="H178" i="14"/>
  <c r="AR170" i="14"/>
  <c r="AQ170" i="14"/>
  <c r="AP170" i="14"/>
  <c r="AO170" i="14"/>
  <c r="AN170" i="14"/>
  <c r="AM170" i="14"/>
  <c r="AL170" i="14"/>
  <c r="AK170" i="14"/>
  <c r="AJ170" i="14"/>
  <c r="AI170" i="14"/>
  <c r="AH170" i="14"/>
  <c r="AE170" i="14"/>
  <c r="AD170" i="14"/>
  <c r="AC170" i="14"/>
  <c r="AB170" i="14"/>
  <c r="AA170" i="14"/>
  <c r="Z170" i="14"/>
  <c r="Y170" i="14"/>
  <c r="X170" i="14"/>
  <c r="W170" i="14"/>
  <c r="V170" i="14"/>
  <c r="U170" i="14"/>
  <c r="R170" i="14"/>
  <c r="Q170" i="14"/>
  <c r="P170" i="14"/>
  <c r="O170" i="14"/>
  <c r="N170" i="14"/>
  <c r="M170" i="14"/>
  <c r="L170" i="14"/>
  <c r="K170" i="14"/>
  <c r="J170" i="14"/>
  <c r="I170" i="14"/>
  <c r="H170" i="14"/>
  <c r="AR169" i="14"/>
  <c r="AQ169" i="14"/>
  <c r="AP169" i="14"/>
  <c r="AO169" i="14"/>
  <c r="AN169" i="14"/>
  <c r="AM169" i="14"/>
  <c r="AL169" i="14"/>
  <c r="AK169" i="14"/>
  <c r="AJ169" i="14"/>
  <c r="AI169" i="14"/>
  <c r="AH169" i="14"/>
  <c r="AE169" i="14"/>
  <c r="AD169" i="14"/>
  <c r="AC169" i="14"/>
  <c r="AB169" i="14"/>
  <c r="AA169" i="14"/>
  <c r="Z169" i="14"/>
  <c r="Y169" i="14"/>
  <c r="X169" i="14"/>
  <c r="W169" i="14"/>
  <c r="V169" i="14"/>
  <c r="U169" i="14"/>
  <c r="R169" i="14"/>
  <c r="Q169" i="14"/>
  <c r="P169" i="14"/>
  <c r="O169" i="14"/>
  <c r="N169" i="14"/>
  <c r="M169" i="14"/>
  <c r="L169" i="14"/>
  <c r="K169" i="14"/>
  <c r="J169" i="14"/>
  <c r="I169" i="14"/>
  <c r="H169" i="14"/>
  <c r="AR168" i="14"/>
  <c r="AQ168" i="14"/>
  <c r="AP168" i="14"/>
  <c r="AO168" i="14"/>
  <c r="AN168" i="14"/>
  <c r="AM168" i="14"/>
  <c r="AL168" i="14"/>
  <c r="AK168" i="14"/>
  <c r="AJ168" i="14"/>
  <c r="AI168" i="14"/>
  <c r="AH168" i="14"/>
  <c r="AE168" i="14"/>
  <c r="AD168" i="14"/>
  <c r="AC168" i="14"/>
  <c r="AB168" i="14"/>
  <c r="AA168" i="14"/>
  <c r="Z168" i="14"/>
  <c r="Y168" i="14"/>
  <c r="X168" i="14"/>
  <c r="W168" i="14"/>
  <c r="V168" i="14"/>
  <c r="U168" i="14"/>
  <c r="R168" i="14"/>
  <c r="Q168" i="14"/>
  <c r="P168" i="14"/>
  <c r="O168" i="14"/>
  <c r="N168" i="14"/>
  <c r="M168" i="14"/>
  <c r="L168" i="14"/>
  <c r="K168" i="14"/>
  <c r="J168" i="14"/>
  <c r="I168" i="14"/>
  <c r="H168" i="14"/>
  <c r="AR167" i="14"/>
  <c r="AQ167" i="14"/>
  <c r="AP167" i="14"/>
  <c r="AO167" i="14"/>
  <c r="AN167" i="14"/>
  <c r="AM167" i="14"/>
  <c r="AL167" i="14"/>
  <c r="AK167" i="14"/>
  <c r="AJ167" i="14"/>
  <c r="AI167" i="14"/>
  <c r="AH167" i="14"/>
  <c r="AE167" i="14"/>
  <c r="AD167" i="14"/>
  <c r="AC167" i="14"/>
  <c r="AB167" i="14"/>
  <c r="AA167" i="14"/>
  <c r="Z167" i="14"/>
  <c r="Y167" i="14"/>
  <c r="X167" i="14"/>
  <c r="W167" i="14"/>
  <c r="V167" i="14"/>
  <c r="U167" i="14"/>
  <c r="R167" i="14"/>
  <c r="Q167" i="14"/>
  <c r="P167" i="14"/>
  <c r="O167" i="14"/>
  <c r="N167" i="14"/>
  <c r="M167" i="14"/>
  <c r="L167" i="14"/>
  <c r="K167" i="14"/>
  <c r="J167" i="14"/>
  <c r="I167" i="14"/>
  <c r="H167" i="14"/>
  <c r="AR166" i="14"/>
  <c r="AQ166" i="14"/>
  <c r="AP166" i="14"/>
  <c r="AO166" i="14"/>
  <c r="AN166" i="14"/>
  <c r="AM166" i="14"/>
  <c r="AL166" i="14"/>
  <c r="AK166" i="14"/>
  <c r="AJ166" i="14"/>
  <c r="AI166" i="14"/>
  <c r="AH166" i="14"/>
  <c r="AE166" i="14"/>
  <c r="AD166" i="14"/>
  <c r="AC166" i="14"/>
  <c r="AB166" i="14"/>
  <c r="AA166" i="14"/>
  <c r="Z166" i="14"/>
  <c r="Y166" i="14"/>
  <c r="X166" i="14"/>
  <c r="W166" i="14"/>
  <c r="V166" i="14"/>
  <c r="U166" i="14"/>
  <c r="R166" i="14"/>
  <c r="Q166" i="14"/>
  <c r="P166" i="14"/>
  <c r="O166" i="14"/>
  <c r="N166" i="14"/>
  <c r="M166" i="14"/>
  <c r="L166" i="14"/>
  <c r="K166" i="14"/>
  <c r="J166" i="14"/>
  <c r="I166" i="14"/>
  <c r="H166" i="14"/>
  <c r="AR165" i="14"/>
  <c r="AQ165" i="14"/>
  <c r="AP165" i="14"/>
  <c r="AO165" i="14"/>
  <c r="AN165" i="14"/>
  <c r="AM165" i="14"/>
  <c r="AL165" i="14"/>
  <c r="AK165" i="14"/>
  <c r="AJ165" i="14"/>
  <c r="AI165" i="14"/>
  <c r="AH165" i="14"/>
  <c r="AE165" i="14"/>
  <c r="AD165" i="14"/>
  <c r="AC165" i="14"/>
  <c r="AB165" i="14"/>
  <c r="AA165" i="14"/>
  <c r="Z165" i="14"/>
  <c r="Y165" i="14"/>
  <c r="X165" i="14"/>
  <c r="W165" i="14"/>
  <c r="V165" i="14"/>
  <c r="U165" i="14"/>
  <c r="R165" i="14"/>
  <c r="Q165" i="14"/>
  <c r="P165" i="14"/>
  <c r="O165" i="14"/>
  <c r="N165" i="14"/>
  <c r="M165" i="14"/>
  <c r="L165" i="14"/>
  <c r="K165" i="14"/>
  <c r="J165" i="14"/>
  <c r="I165" i="14"/>
  <c r="H165" i="14"/>
  <c r="AR164" i="14"/>
  <c r="AQ164" i="14"/>
  <c r="AP164" i="14"/>
  <c r="AO164" i="14"/>
  <c r="AN164" i="14"/>
  <c r="AM164" i="14"/>
  <c r="AL164" i="14"/>
  <c r="AK164" i="14"/>
  <c r="AJ164" i="14"/>
  <c r="AI164" i="14"/>
  <c r="AH164" i="14"/>
  <c r="AE164" i="14"/>
  <c r="AD164" i="14"/>
  <c r="AC164" i="14"/>
  <c r="AB164" i="14"/>
  <c r="AA164" i="14"/>
  <c r="Z164" i="14"/>
  <c r="Y164" i="14"/>
  <c r="X164" i="14"/>
  <c r="W164" i="14"/>
  <c r="V164" i="14"/>
  <c r="U164" i="14"/>
  <c r="R164" i="14"/>
  <c r="Q164" i="14"/>
  <c r="P164" i="14"/>
  <c r="O164" i="14"/>
  <c r="N164" i="14"/>
  <c r="M164" i="14"/>
  <c r="L164" i="14"/>
  <c r="K164" i="14"/>
  <c r="J164" i="14"/>
  <c r="I164" i="14"/>
  <c r="H164" i="14"/>
  <c r="AR163" i="14"/>
  <c r="AQ163" i="14"/>
  <c r="AP163" i="14"/>
  <c r="AO163" i="14"/>
  <c r="AN163" i="14"/>
  <c r="AM163" i="14"/>
  <c r="AL163" i="14"/>
  <c r="AK163" i="14"/>
  <c r="AJ163" i="14"/>
  <c r="AI163" i="14"/>
  <c r="AH163" i="14"/>
  <c r="AE163" i="14"/>
  <c r="AD163" i="14"/>
  <c r="AC163" i="14"/>
  <c r="AB163" i="14"/>
  <c r="AA163" i="14"/>
  <c r="Z163" i="14"/>
  <c r="Y163" i="14"/>
  <c r="X163" i="14"/>
  <c r="W163" i="14"/>
  <c r="V163" i="14"/>
  <c r="U163" i="14"/>
  <c r="R163" i="14"/>
  <c r="Q163" i="14"/>
  <c r="P163" i="14"/>
  <c r="O163" i="14"/>
  <c r="N163" i="14"/>
  <c r="M163" i="14"/>
  <c r="L163" i="14"/>
  <c r="K163" i="14"/>
  <c r="J163" i="14"/>
  <c r="I163" i="14"/>
  <c r="H163" i="14"/>
  <c r="AR162" i="14"/>
  <c r="AQ162" i="14"/>
  <c r="AP162" i="14"/>
  <c r="AO162" i="14"/>
  <c r="AN162" i="14"/>
  <c r="AM162" i="14"/>
  <c r="AL162" i="14"/>
  <c r="AK162" i="14"/>
  <c r="AJ162" i="14"/>
  <c r="AI162" i="14"/>
  <c r="AH162" i="14"/>
  <c r="AE162" i="14"/>
  <c r="AD162" i="14"/>
  <c r="AC162" i="14"/>
  <c r="AB162" i="14"/>
  <c r="AA162" i="14"/>
  <c r="Z162" i="14"/>
  <c r="Y162" i="14"/>
  <c r="X162" i="14"/>
  <c r="W162" i="14"/>
  <c r="V162" i="14"/>
  <c r="U162" i="14"/>
  <c r="R162" i="14"/>
  <c r="Q162" i="14"/>
  <c r="P162" i="14"/>
  <c r="O162" i="14"/>
  <c r="N162" i="14"/>
  <c r="M162" i="14"/>
  <c r="L162" i="14"/>
  <c r="K162" i="14"/>
  <c r="J162" i="14"/>
  <c r="I162" i="14"/>
  <c r="H162" i="14"/>
  <c r="AR161" i="14"/>
  <c r="AQ161" i="14"/>
  <c r="AP161" i="14"/>
  <c r="AO161" i="14"/>
  <c r="AN161" i="14"/>
  <c r="AM161" i="14"/>
  <c r="AL161" i="14"/>
  <c r="AK161" i="14"/>
  <c r="AJ161" i="14"/>
  <c r="AI161" i="14"/>
  <c r="AH161" i="14"/>
  <c r="AE161" i="14"/>
  <c r="AD161" i="14"/>
  <c r="AC161" i="14"/>
  <c r="AB161" i="14"/>
  <c r="AA161" i="14"/>
  <c r="Z161" i="14"/>
  <c r="Y161" i="14"/>
  <c r="X161" i="14"/>
  <c r="W161" i="14"/>
  <c r="V161" i="14"/>
  <c r="U161" i="14"/>
  <c r="R161" i="14"/>
  <c r="Q161" i="14"/>
  <c r="P161" i="14"/>
  <c r="O161" i="14"/>
  <c r="N161" i="14"/>
  <c r="M161" i="14"/>
  <c r="L161" i="14"/>
  <c r="K161" i="14"/>
  <c r="J161" i="14"/>
  <c r="I161" i="14"/>
  <c r="H161" i="14"/>
  <c r="AR160" i="14"/>
  <c r="AQ160" i="14"/>
  <c r="AP160" i="14"/>
  <c r="AO160" i="14"/>
  <c r="AN160" i="14"/>
  <c r="AM160" i="14"/>
  <c r="AL160" i="14"/>
  <c r="AK160" i="14"/>
  <c r="AJ160" i="14"/>
  <c r="AI160" i="14"/>
  <c r="AH160" i="14"/>
  <c r="AE160" i="14"/>
  <c r="AD160" i="14"/>
  <c r="AC160" i="14"/>
  <c r="AB160" i="14"/>
  <c r="AA160" i="14"/>
  <c r="Z160" i="14"/>
  <c r="Y160" i="14"/>
  <c r="X160" i="14"/>
  <c r="W160" i="14"/>
  <c r="V160" i="14"/>
  <c r="U160" i="14"/>
  <c r="R160" i="14"/>
  <c r="Q160" i="14"/>
  <c r="P160" i="14"/>
  <c r="O160" i="14"/>
  <c r="N160" i="14"/>
  <c r="M160" i="14"/>
  <c r="L160" i="14"/>
  <c r="K160" i="14"/>
  <c r="J160" i="14"/>
  <c r="I160" i="14"/>
  <c r="H160" i="14"/>
  <c r="AR159" i="14"/>
  <c r="AQ159" i="14"/>
  <c r="AP159" i="14"/>
  <c r="AO159" i="14"/>
  <c r="AN159" i="14"/>
  <c r="AM159" i="14"/>
  <c r="AL159" i="14"/>
  <c r="AK159" i="14"/>
  <c r="AJ159" i="14"/>
  <c r="AI159" i="14"/>
  <c r="AH159" i="14"/>
  <c r="AE159" i="14"/>
  <c r="AD159" i="14"/>
  <c r="AC159" i="14"/>
  <c r="AB159" i="14"/>
  <c r="AA159" i="14"/>
  <c r="Z159" i="14"/>
  <c r="Y159" i="14"/>
  <c r="X159" i="14"/>
  <c r="W159" i="14"/>
  <c r="V159" i="14"/>
  <c r="U159" i="14"/>
  <c r="R159" i="14"/>
  <c r="Q159" i="14"/>
  <c r="P159" i="14"/>
  <c r="O159" i="14"/>
  <c r="N159" i="14"/>
  <c r="M159" i="14"/>
  <c r="L159" i="14"/>
  <c r="K159" i="14"/>
  <c r="J159" i="14"/>
  <c r="I159" i="14"/>
  <c r="H159" i="14"/>
  <c r="AR158" i="14"/>
  <c r="AQ158" i="14"/>
  <c r="AP158" i="14"/>
  <c r="AO158" i="14"/>
  <c r="AN158" i="14"/>
  <c r="AM158" i="14"/>
  <c r="AL158" i="14"/>
  <c r="AK158" i="14"/>
  <c r="AJ158" i="14"/>
  <c r="AI158" i="14"/>
  <c r="AH158" i="14"/>
  <c r="AE158" i="14"/>
  <c r="AD158" i="14"/>
  <c r="AC158" i="14"/>
  <c r="AB158" i="14"/>
  <c r="AA158" i="14"/>
  <c r="Z158" i="14"/>
  <c r="Y158" i="14"/>
  <c r="X158" i="14"/>
  <c r="W158" i="14"/>
  <c r="V158" i="14"/>
  <c r="U158" i="14"/>
  <c r="R158" i="14"/>
  <c r="Q158" i="14"/>
  <c r="P158" i="14"/>
  <c r="O158" i="14"/>
  <c r="N158" i="14"/>
  <c r="M158" i="14"/>
  <c r="L158" i="14"/>
  <c r="K158" i="14"/>
  <c r="J158" i="14"/>
  <c r="I158" i="14"/>
  <c r="H158" i="14"/>
  <c r="AR157" i="14"/>
  <c r="AQ157" i="14"/>
  <c r="AP157" i="14"/>
  <c r="AO157" i="14"/>
  <c r="AN157" i="14"/>
  <c r="AM157" i="14"/>
  <c r="AL157" i="14"/>
  <c r="AK157" i="14"/>
  <c r="AJ157" i="14"/>
  <c r="AI157" i="14"/>
  <c r="AH157" i="14"/>
  <c r="AE157" i="14"/>
  <c r="AD157" i="14"/>
  <c r="AC157" i="14"/>
  <c r="AB157" i="14"/>
  <c r="AA157" i="14"/>
  <c r="Z157" i="14"/>
  <c r="Y157" i="14"/>
  <c r="X157" i="14"/>
  <c r="W157" i="14"/>
  <c r="V157" i="14"/>
  <c r="U157" i="14"/>
  <c r="R157" i="14"/>
  <c r="Q157" i="14"/>
  <c r="P157" i="14"/>
  <c r="O157" i="14"/>
  <c r="N157" i="14"/>
  <c r="M157" i="14"/>
  <c r="L157" i="14"/>
  <c r="K157" i="14"/>
  <c r="J157" i="14"/>
  <c r="I157" i="14"/>
  <c r="H157" i="14"/>
  <c r="AR156" i="14"/>
  <c r="AQ156" i="14"/>
  <c r="AP156" i="14"/>
  <c r="AO156" i="14"/>
  <c r="AN156" i="14"/>
  <c r="AM156" i="14"/>
  <c r="AL156" i="14"/>
  <c r="AK156" i="14"/>
  <c r="AJ156" i="14"/>
  <c r="AI156" i="14"/>
  <c r="AH156" i="14"/>
  <c r="AE156" i="14"/>
  <c r="AD156" i="14"/>
  <c r="AC156" i="14"/>
  <c r="AB156" i="14"/>
  <c r="AA156" i="14"/>
  <c r="Z156" i="14"/>
  <c r="Y156" i="14"/>
  <c r="X156" i="14"/>
  <c r="W156" i="14"/>
  <c r="V156" i="14"/>
  <c r="U156" i="14"/>
  <c r="R156" i="14"/>
  <c r="Q156" i="14"/>
  <c r="P156" i="14"/>
  <c r="O156" i="14"/>
  <c r="N156" i="14"/>
  <c r="M156" i="14"/>
  <c r="L156" i="14"/>
  <c r="K156" i="14"/>
  <c r="J156" i="14"/>
  <c r="I156" i="14"/>
  <c r="H156" i="14"/>
  <c r="AR155" i="14"/>
  <c r="AQ155" i="14"/>
  <c r="AP155" i="14"/>
  <c r="AO155" i="14"/>
  <c r="AN155" i="14"/>
  <c r="AM155" i="14"/>
  <c r="AL155" i="14"/>
  <c r="AK155" i="14"/>
  <c r="AJ155" i="14"/>
  <c r="AI155" i="14"/>
  <c r="AH155" i="14"/>
  <c r="AE155" i="14"/>
  <c r="AD155" i="14"/>
  <c r="AC155" i="14"/>
  <c r="AB155" i="14"/>
  <c r="AA155" i="14"/>
  <c r="Z155" i="14"/>
  <c r="Y155" i="14"/>
  <c r="X155" i="14"/>
  <c r="W155" i="14"/>
  <c r="V155" i="14"/>
  <c r="U155" i="14"/>
  <c r="R155" i="14"/>
  <c r="Q155" i="14"/>
  <c r="P155" i="14"/>
  <c r="O155" i="14"/>
  <c r="N155" i="14"/>
  <c r="M155" i="14"/>
  <c r="L155" i="14"/>
  <c r="K155" i="14"/>
  <c r="J155" i="14"/>
  <c r="I155" i="14"/>
  <c r="H155" i="14"/>
  <c r="AR154" i="14"/>
  <c r="AQ154" i="14"/>
  <c r="AP154" i="14"/>
  <c r="AO154" i="14"/>
  <c r="AN154" i="14"/>
  <c r="AM154" i="14"/>
  <c r="AL154" i="14"/>
  <c r="AK154" i="14"/>
  <c r="AJ154" i="14"/>
  <c r="AI154" i="14"/>
  <c r="AH154" i="14"/>
  <c r="AE154" i="14"/>
  <c r="AD154" i="14"/>
  <c r="AC154" i="14"/>
  <c r="AB154" i="14"/>
  <c r="AA154" i="14"/>
  <c r="Z154" i="14"/>
  <c r="Y154" i="14"/>
  <c r="X154" i="14"/>
  <c r="W154" i="14"/>
  <c r="V154" i="14"/>
  <c r="U154" i="14"/>
  <c r="R154" i="14"/>
  <c r="Q154" i="14"/>
  <c r="P154" i="14"/>
  <c r="O154" i="14"/>
  <c r="N154" i="14"/>
  <c r="M154" i="14"/>
  <c r="L154" i="14"/>
  <c r="K154" i="14"/>
  <c r="J154" i="14"/>
  <c r="I154" i="14"/>
  <c r="H154" i="14"/>
  <c r="AR153" i="14"/>
  <c r="AQ153" i="14"/>
  <c r="AP153" i="14"/>
  <c r="AO153" i="14"/>
  <c r="AN153" i="14"/>
  <c r="AM153" i="14"/>
  <c r="AL153" i="14"/>
  <c r="AK153" i="14"/>
  <c r="AJ153" i="14"/>
  <c r="AI153" i="14"/>
  <c r="AH153" i="14"/>
  <c r="AE153" i="14"/>
  <c r="AD153" i="14"/>
  <c r="AC153" i="14"/>
  <c r="AB153" i="14"/>
  <c r="AA153" i="14"/>
  <c r="Z153" i="14"/>
  <c r="Y153" i="14"/>
  <c r="X153" i="14"/>
  <c r="W153" i="14"/>
  <c r="V153" i="14"/>
  <c r="U153" i="14"/>
  <c r="R153" i="14"/>
  <c r="Q153" i="14"/>
  <c r="P153" i="14"/>
  <c r="O153" i="14"/>
  <c r="N153" i="14"/>
  <c r="M153" i="14"/>
  <c r="L153" i="14"/>
  <c r="K153" i="14"/>
  <c r="J153" i="14"/>
  <c r="I153" i="14"/>
  <c r="H153" i="14"/>
  <c r="AR152" i="14"/>
  <c r="AQ152" i="14"/>
  <c r="AP152" i="14"/>
  <c r="AO152" i="14"/>
  <c r="AN152" i="14"/>
  <c r="AM152" i="14"/>
  <c r="AL152" i="14"/>
  <c r="AK152" i="14"/>
  <c r="AJ152" i="14"/>
  <c r="AI152" i="14"/>
  <c r="AH152" i="14"/>
  <c r="AE152" i="14"/>
  <c r="AD152" i="14"/>
  <c r="AC152" i="14"/>
  <c r="AB152" i="14"/>
  <c r="AA152" i="14"/>
  <c r="Z152" i="14"/>
  <c r="Y152" i="14"/>
  <c r="X152" i="14"/>
  <c r="W152" i="14"/>
  <c r="V152" i="14"/>
  <c r="U152" i="14"/>
  <c r="R152" i="14"/>
  <c r="Q152" i="14"/>
  <c r="P152" i="14"/>
  <c r="O152" i="14"/>
  <c r="N152" i="14"/>
  <c r="M152" i="14"/>
  <c r="L152" i="14"/>
  <c r="K152" i="14"/>
  <c r="J152" i="14"/>
  <c r="I152" i="14"/>
  <c r="H152" i="14"/>
  <c r="AR151" i="14"/>
  <c r="AQ151" i="14"/>
  <c r="AP151" i="14"/>
  <c r="AO151" i="14"/>
  <c r="AN151" i="14"/>
  <c r="AM151" i="14"/>
  <c r="AL151" i="14"/>
  <c r="AK151" i="14"/>
  <c r="AJ151" i="14"/>
  <c r="AI151" i="14"/>
  <c r="AH151" i="14"/>
  <c r="AE151" i="14"/>
  <c r="AD151" i="14"/>
  <c r="AC151" i="14"/>
  <c r="AB151" i="14"/>
  <c r="AA151" i="14"/>
  <c r="Z151" i="14"/>
  <c r="Y151" i="14"/>
  <c r="X151" i="14"/>
  <c r="W151" i="14"/>
  <c r="V151" i="14"/>
  <c r="U151" i="14"/>
  <c r="R151" i="14"/>
  <c r="Q151" i="14"/>
  <c r="P151" i="14"/>
  <c r="O151" i="14"/>
  <c r="N151" i="14"/>
  <c r="M151" i="14"/>
  <c r="L151" i="14"/>
  <c r="K151" i="14"/>
  <c r="J151" i="14"/>
  <c r="I151" i="14"/>
  <c r="H151" i="14"/>
  <c r="AR150" i="14"/>
  <c r="AQ150" i="14"/>
  <c r="AP150" i="14"/>
  <c r="AO150" i="14"/>
  <c r="AN150" i="14"/>
  <c r="AM150" i="14"/>
  <c r="AL150" i="14"/>
  <c r="AK150" i="14"/>
  <c r="AJ150" i="14"/>
  <c r="AI150" i="14"/>
  <c r="AH150" i="14"/>
  <c r="AE150" i="14"/>
  <c r="AD150" i="14"/>
  <c r="AC150" i="14"/>
  <c r="AB150" i="14"/>
  <c r="AA150" i="14"/>
  <c r="Z150" i="14"/>
  <c r="Y150" i="14"/>
  <c r="X150" i="14"/>
  <c r="W150" i="14"/>
  <c r="V150" i="14"/>
  <c r="U150" i="14"/>
  <c r="R150" i="14"/>
  <c r="Q150" i="14"/>
  <c r="P150" i="14"/>
  <c r="O150" i="14"/>
  <c r="N150" i="14"/>
  <c r="M150" i="14"/>
  <c r="L150" i="14"/>
  <c r="K150" i="14"/>
  <c r="J150" i="14"/>
  <c r="I150" i="14"/>
  <c r="H150" i="14"/>
  <c r="AG146" i="14"/>
  <c r="T146" i="14"/>
  <c r="AR142" i="14"/>
  <c r="AQ142" i="14"/>
  <c r="AP142" i="14"/>
  <c r="AO142" i="14"/>
  <c r="AN142" i="14"/>
  <c r="AM142" i="14"/>
  <c r="AL142" i="14"/>
  <c r="AK142" i="14"/>
  <c r="AJ142" i="14"/>
  <c r="AI142" i="14"/>
  <c r="AH142" i="14"/>
  <c r="AE142" i="14"/>
  <c r="AD142" i="14"/>
  <c r="AC142" i="14"/>
  <c r="AB142" i="14"/>
  <c r="AA142" i="14"/>
  <c r="Z142" i="14"/>
  <c r="Y142" i="14"/>
  <c r="X142" i="14"/>
  <c r="W142" i="14"/>
  <c r="V142" i="14"/>
  <c r="U142" i="14"/>
  <c r="R142" i="14"/>
  <c r="Q142" i="14"/>
  <c r="P142" i="14"/>
  <c r="O142" i="14"/>
  <c r="N142" i="14"/>
  <c r="M142" i="14"/>
  <c r="L142" i="14"/>
  <c r="K142" i="14"/>
  <c r="J142" i="14"/>
  <c r="I142" i="14"/>
  <c r="H142" i="14"/>
  <c r="AR141" i="14"/>
  <c r="AQ141" i="14"/>
  <c r="AP141" i="14"/>
  <c r="AO141" i="14"/>
  <c r="AN141" i="14"/>
  <c r="AM141" i="14"/>
  <c r="AL141" i="14"/>
  <c r="AK141" i="14"/>
  <c r="AJ141" i="14"/>
  <c r="AI141" i="14"/>
  <c r="AH141" i="14"/>
  <c r="AE141" i="14"/>
  <c r="AD141" i="14"/>
  <c r="AC141" i="14"/>
  <c r="AB141" i="14"/>
  <c r="AA141" i="14"/>
  <c r="Z141" i="14"/>
  <c r="Y141" i="14"/>
  <c r="X141" i="14"/>
  <c r="W141" i="14"/>
  <c r="V141" i="14"/>
  <c r="U141" i="14"/>
  <c r="R141" i="14"/>
  <c r="Q141" i="14"/>
  <c r="P141" i="14"/>
  <c r="O141" i="14"/>
  <c r="N141" i="14"/>
  <c r="M141" i="14"/>
  <c r="L141" i="14"/>
  <c r="K141" i="14"/>
  <c r="J141" i="14"/>
  <c r="I141" i="14"/>
  <c r="H141" i="14"/>
  <c r="AR140" i="14"/>
  <c r="AQ140" i="14"/>
  <c r="AP140" i="14"/>
  <c r="AO140" i="14"/>
  <c r="AN140" i="14"/>
  <c r="AM140" i="14"/>
  <c r="AL140" i="14"/>
  <c r="AK140" i="14"/>
  <c r="AJ140" i="14"/>
  <c r="AI140" i="14"/>
  <c r="AH140" i="14"/>
  <c r="AE140" i="14"/>
  <c r="AD140" i="14"/>
  <c r="AC140" i="14"/>
  <c r="AB140" i="14"/>
  <c r="AA140" i="14"/>
  <c r="Z140" i="14"/>
  <c r="Y140" i="14"/>
  <c r="X140" i="14"/>
  <c r="W140" i="14"/>
  <c r="V140" i="14"/>
  <c r="U140" i="14"/>
  <c r="R140" i="14"/>
  <c r="Q140" i="14"/>
  <c r="P140" i="14"/>
  <c r="O140" i="14"/>
  <c r="N140" i="14"/>
  <c r="M140" i="14"/>
  <c r="L140" i="14"/>
  <c r="K140" i="14"/>
  <c r="J140" i="14"/>
  <c r="I140" i="14"/>
  <c r="H140" i="14"/>
  <c r="AR139" i="14"/>
  <c r="AQ139" i="14"/>
  <c r="AP139" i="14"/>
  <c r="AO139" i="14"/>
  <c r="AN139" i="14"/>
  <c r="AM139" i="14"/>
  <c r="AL139" i="14"/>
  <c r="AK139" i="14"/>
  <c r="AJ139" i="14"/>
  <c r="AI139" i="14"/>
  <c r="AH139" i="14"/>
  <c r="AE139" i="14"/>
  <c r="AD139" i="14"/>
  <c r="AC139" i="14"/>
  <c r="AB139" i="14"/>
  <c r="AA139" i="14"/>
  <c r="Z139" i="14"/>
  <c r="Y139" i="14"/>
  <c r="X139" i="14"/>
  <c r="W139" i="14"/>
  <c r="V139" i="14"/>
  <c r="U139" i="14"/>
  <c r="R139" i="14"/>
  <c r="Q139" i="14"/>
  <c r="P139" i="14"/>
  <c r="O139" i="14"/>
  <c r="N139" i="14"/>
  <c r="M139" i="14"/>
  <c r="L139" i="14"/>
  <c r="K139" i="14"/>
  <c r="J139" i="14"/>
  <c r="I139" i="14"/>
  <c r="H139" i="14"/>
  <c r="AR138" i="14"/>
  <c r="AQ138" i="14"/>
  <c r="AP138" i="14"/>
  <c r="AO138" i="14"/>
  <c r="AN138" i="14"/>
  <c r="AM138" i="14"/>
  <c r="AL138" i="14"/>
  <c r="AK138" i="14"/>
  <c r="AJ138" i="14"/>
  <c r="AI138" i="14"/>
  <c r="AH138" i="14"/>
  <c r="AE138" i="14"/>
  <c r="AD138" i="14"/>
  <c r="AC138" i="14"/>
  <c r="AB138" i="14"/>
  <c r="AA138" i="14"/>
  <c r="Z138" i="14"/>
  <c r="Y138" i="14"/>
  <c r="X138" i="14"/>
  <c r="W138" i="14"/>
  <c r="V138" i="14"/>
  <c r="U138" i="14"/>
  <c r="R138" i="14"/>
  <c r="Q138" i="14"/>
  <c r="P138" i="14"/>
  <c r="O138" i="14"/>
  <c r="N138" i="14"/>
  <c r="M138" i="14"/>
  <c r="L138" i="14"/>
  <c r="K138" i="14"/>
  <c r="J138" i="14"/>
  <c r="I138" i="14"/>
  <c r="H138" i="14"/>
  <c r="AR137" i="14"/>
  <c r="AQ137" i="14"/>
  <c r="AP137" i="14"/>
  <c r="AO137" i="14"/>
  <c r="AN137" i="14"/>
  <c r="AM137" i="14"/>
  <c r="AL137" i="14"/>
  <c r="AK137" i="14"/>
  <c r="AJ137" i="14"/>
  <c r="AI137" i="14"/>
  <c r="AH137" i="14"/>
  <c r="AE137" i="14"/>
  <c r="AD137" i="14"/>
  <c r="AC137" i="14"/>
  <c r="AB137" i="14"/>
  <c r="AA137" i="14"/>
  <c r="Z137" i="14"/>
  <c r="Y137" i="14"/>
  <c r="X137" i="14"/>
  <c r="W137" i="14"/>
  <c r="V137" i="14"/>
  <c r="U137" i="14"/>
  <c r="R137" i="14"/>
  <c r="Q137" i="14"/>
  <c r="P137" i="14"/>
  <c r="O137" i="14"/>
  <c r="N137" i="14"/>
  <c r="M137" i="14"/>
  <c r="L137" i="14"/>
  <c r="K137" i="14"/>
  <c r="J137" i="14"/>
  <c r="I137" i="14"/>
  <c r="H137" i="14"/>
  <c r="AR136" i="14"/>
  <c r="AQ136" i="14"/>
  <c r="AP136" i="14"/>
  <c r="AO136" i="14"/>
  <c r="AN136" i="14"/>
  <c r="AM136" i="14"/>
  <c r="AL136" i="14"/>
  <c r="AK136" i="14"/>
  <c r="AJ136" i="14"/>
  <c r="AI136" i="14"/>
  <c r="AH136" i="14"/>
  <c r="AE136" i="14"/>
  <c r="AD136" i="14"/>
  <c r="AC136" i="14"/>
  <c r="AB136" i="14"/>
  <c r="AA136" i="14"/>
  <c r="Z136" i="14"/>
  <c r="Y136" i="14"/>
  <c r="X136" i="14"/>
  <c r="W136" i="14"/>
  <c r="V136" i="14"/>
  <c r="U136" i="14"/>
  <c r="R136" i="14"/>
  <c r="Q136" i="14"/>
  <c r="P136" i="14"/>
  <c r="O136" i="14"/>
  <c r="N136" i="14"/>
  <c r="M136" i="14"/>
  <c r="L136" i="14"/>
  <c r="K136" i="14"/>
  <c r="J136" i="14"/>
  <c r="I136" i="14"/>
  <c r="H136" i="14"/>
  <c r="AR135" i="14"/>
  <c r="AQ135" i="14"/>
  <c r="AP135" i="14"/>
  <c r="AO135" i="14"/>
  <c r="AN135" i="14"/>
  <c r="AM135" i="14"/>
  <c r="AL135" i="14"/>
  <c r="AK135" i="14"/>
  <c r="AJ135" i="14"/>
  <c r="AI135" i="14"/>
  <c r="AH135" i="14"/>
  <c r="AE135" i="14"/>
  <c r="AD135" i="14"/>
  <c r="AC135" i="14"/>
  <c r="AB135" i="14"/>
  <c r="AA135" i="14"/>
  <c r="Z135" i="14"/>
  <c r="Y135" i="14"/>
  <c r="X135" i="14"/>
  <c r="W135" i="14"/>
  <c r="V135" i="14"/>
  <c r="U135" i="14"/>
  <c r="R135" i="14"/>
  <c r="Q135" i="14"/>
  <c r="P135" i="14"/>
  <c r="O135" i="14"/>
  <c r="N135" i="14"/>
  <c r="M135" i="14"/>
  <c r="L135" i="14"/>
  <c r="K135" i="14"/>
  <c r="J135" i="14"/>
  <c r="I135" i="14"/>
  <c r="H135" i="14"/>
  <c r="AR134" i="14"/>
  <c r="AQ134" i="14"/>
  <c r="AP134" i="14"/>
  <c r="AO134" i="14"/>
  <c r="AN134" i="14"/>
  <c r="AM134" i="14"/>
  <c r="AL134" i="14"/>
  <c r="AK134" i="14"/>
  <c r="AJ134" i="14"/>
  <c r="AI134" i="14"/>
  <c r="AH134" i="14"/>
  <c r="AE134" i="14"/>
  <c r="AD134" i="14"/>
  <c r="AC134" i="14"/>
  <c r="AB134" i="14"/>
  <c r="AA134" i="14"/>
  <c r="Z134" i="14"/>
  <c r="Y134" i="14"/>
  <c r="X134" i="14"/>
  <c r="W134" i="14"/>
  <c r="V134" i="14"/>
  <c r="U134" i="14"/>
  <c r="R134" i="14"/>
  <c r="Q134" i="14"/>
  <c r="P134" i="14"/>
  <c r="O134" i="14"/>
  <c r="N134" i="14"/>
  <c r="M134" i="14"/>
  <c r="L134" i="14"/>
  <c r="K134" i="14"/>
  <c r="J134" i="14"/>
  <c r="I134" i="14"/>
  <c r="H134" i="14"/>
  <c r="AR133" i="14"/>
  <c r="AQ133" i="14"/>
  <c r="AP133" i="14"/>
  <c r="AO133" i="14"/>
  <c r="AN133" i="14"/>
  <c r="AM133" i="14"/>
  <c r="AL133" i="14"/>
  <c r="AK133" i="14"/>
  <c r="AJ133" i="14"/>
  <c r="AI133" i="14"/>
  <c r="AH133" i="14"/>
  <c r="AE133" i="14"/>
  <c r="AD133" i="14"/>
  <c r="AC133" i="14"/>
  <c r="AB133" i="14"/>
  <c r="AA133" i="14"/>
  <c r="Z133" i="14"/>
  <c r="Y133" i="14"/>
  <c r="X133" i="14"/>
  <c r="W133" i="14"/>
  <c r="V133" i="14"/>
  <c r="U133" i="14"/>
  <c r="R133" i="14"/>
  <c r="Q133" i="14"/>
  <c r="P133" i="14"/>
  <c r="O133" i="14"/>
  <c r="N133" i="14"/>
  <c r="M133" i="14"/>
  <c r="L133" i="14"/>
  <c r="K133" i="14"/>
  <c r="J133" i="14"/>
  <c r="I133" i="14"/>
  <c r="H133" i="14"/>
  <c r="AR132" i="14"/>
  <c r="AQ132" i="14"/>
  <c r="AP132" i="14"/>
  <c r="AO132" i="14"/>
  <c r="AN132" i="14"/>
  <c r="AM132" i="14"/>
  <c r="AL132" i="14"/>
  <c r="AK132" i="14"/>
  <c r="AJ132" i="14"/>
  <c r="AI132" i="14"/>
  <c r="AH132" i="14"/>
  <c r="AE132" i="14"/>
  <c r="AD132" i="14"/>
  <c r="AC132" i="14"/>
  <c r="AB132" i="14"/>
  <c r="AA132" i="14"/>
  <c r="Z132" i="14"/>
  <c r="Y132" i="14"/>
  <c r="X132" i="14"/>
  <c r="W132" i="14"/>
  <c r="V132" i="14"/>
  <c r="U132" i="14"/>
  <c r="R132" i="14"/>
  <c r="Q132" i="14"/>
  <c r="P132" i="14"/>
  <c r="O132" i="14"/>
  <c r="N132" i="14"/>
  <c r="M132" i="14"/>
  <c r="L132" i="14"/>
  <c r="K132" i="14"/>
  <c r="J132" i="14"/>
  <c r="I132" i="14"/>
  <c r="H132" i="14"/>
  <c r="AR131" i="14"/>
  <c r="AQ131" i="14"/>
  <c r="AP131" i="14"/>
  <c r="AO131" i="14"/>
  <c r="AN131" i="14"/>
  <c r="AM131" i="14"/>
  <c r="AL131" i="14"/>
  <c r="AK131" i="14"/>
  <c r="AJ131" i="14"/>
  <c r="AI131" i="14"/>
  <c r="AH131" i="14"/>
  <c r="AE131" i="14"/>
  <c r="AD131" i="14"/>
  <c r="AC131" i="14"/>
  <c r="AB131" i="14"/>
  <c r="AA131" i="14"/>
  <c r="Z131" i="14"/>
  <c r="Y131" i="14"/>
  <c r="X131" i="14"/>
  <c r="W131" i="14"/>
  <c r="V131" i="14"/>
  <c r="U131" i="14"/>
  <c r="R131" i="14"/>
  <c r="Q131" i="14"/>
  <c r="P131" i="14"/>
  <c r="O131" i="14"/>
  <c r="N131" i="14"/>
  <c r="M131" i="14"/>
  <c r="L131" i="14"/>
  <c r="K131" i="14"/>
  <c r="J131" i="14"/>
  <c r="I131" i="14"/>
  <c r="H131" i="14"/>
  <c r="AR130" i="14"/>
  <c r="AQ130" i="14"/>
  <c r="AP130" i="14"/>
  <c r="AO130" i="14"/>
  <c r="AN130" i="14"/>
  <c r="AM130" i="14"/>
  <c r="AL130" i="14"/>
  <c r="AK130" i="14"/>
  <c r="AJ130" i="14"/>
  <c r="AI130" i="14"/>
  <c r="AH130" i="14"/>
  <c r="AE130" i="14"/>
  <c r="AD130" i="14"/>
  <c r="AC130" i="14"/>
  <c r="AB130" i="14"/>
  <c r="AA130" i="14"/>
  <c r="Z130" i="14"/>
  <c r="Y130" i="14"/>
  <c r="X130" i="14"/>
  <c r="W130" i="14"/>
  <c r="V130" i="14"/>
  <c r="U130" i="14"/>
  <c r="R130" i="14"/>
  <c r="Q130" i="14"/>
  <c r="P130" i="14"/>
  <c r="O130" i="14"/>
  <c r="N130" i="14"/>
  <c r="M130" i="14"/>
  <c r="L130" i="14"/>
  <c r="K130" i="14"/>
  <c r="J130" i="14"/>
  <c r="I130" i="14"/>
  <c r="H130" i="14"/>
  <c r="AR129" i="14"/>
  <c r="AQ129" i="14"/>
  <c r="AP129" i="14"/>
  <c r="AO129" i="14"/>
  <c r="AN129" i="14"/>
  <c r="AM129" i="14"/>
  <c r="AL129" i="14"/>
  <c r="AK129" i="14"/>
  <c r="AJ129" i="14"/>
  <c r="AI129" i="14"/>
  <c r="AH129" i="14"/>
  <c r="AE129" i="14"/>
  <c r="AD129" i="14"/>
  <c r="AC129" i="14"/>
  <c r="AB129" i="14"/>
  <c r="AA129" i="14"/>
  <c r="Z129" i="14"/>
  <c r="Y129" i="14"/>
  <c r="X129" i="14"/>
  <c r="W129" i="14"/>
  <c r="V129" i="14"/>
  <c r="U129" i="14"/>
  <c r="R129" i="14"/>
  <c r="Q129" i="14"/>
  <c r="P129" i="14"/>
  <c r="O129" i="14"/>
  <c r="N129" i="14"/>
  <c r="M129" i="14"/>
  <c r="L129" i="14"/>
  <c r="K129" i="14"/>
  <c r="J129" i="14"/>
  <c r="I129" i="14"/>
  <c r="H129" i="14"/>
  <c r="AR128" i="14"/>
  <c r="AQ128" i="14"/>
  <c r="AP128" i="14"/>
  <c r="AO128" i="14"/>
  <c r="AN128" i="14"/>
  <c r="AM128" i="14"/>
  <c r="AL128" i="14"/>
  <c r="AK128" i="14"/>
  <c r="AJ128" i="14"/>
  <c r="AI128" i="14"/>
  <c r="AH128" i="14"/>
  <c r="AE128" i="14"/>
  <c r="AD128" i="14"/>
  <c r="AC128" i="14"/>
  <c r="AB128" i="14"/>
  <c r="AA128" i="14"/>
  <c r="Z128" i="14"/>
  <c r="Y128" i="14"/>
  <c r="X128" i="14"/>
  <c r="W128" i="14"/>
  <c r="V128" i="14"/>
  <c r="U128" i="14"/>
  <c r="R128" i="14"/>
  <c r="Q128" i="14"/>
  <c r="P128" i="14"/>
  <c r="O128" i="14"/>
  <c r="N128" i="14"/>
  <c r="M128" i="14"/>
  <c r="L128" i="14"/>
  <c r="K128" i="14"/>
  <c r="J128" i="14"/>
  <c r="I128" i="14"/>
  <c r="H128" i="14"/>
  <c r="AR127" i="14"/>
  <c r="AQ127" i="14"/>
  <c r="AP127" i="14"/>
  <c r="AO127" i="14"/>
  <c r="AN127" i="14"/>
  <c r="AM127" i="14"/>
  <c r="AL127" i="14"/>
  <c r="AK127" i="14"/>
  <c r="AJ127" i="14"/>
  <c r="AI127" i="14"/>
  <c r="AH127" i="14"/>
  <c r="AE127" i="14"/>
  <c r="AD127" i="14"/>
  <c r="AC127" i="14"/>
  <c r="AB127" i="14"/>
  <c r="AA127" i="14"/>
  <c r="Z127" i="14"/>
  <c r="Y127" i="14"/>
  <c r="X127" i="14"/>
  <c r="W127" i="14"/>
  <c r="V127" i="14"/>
  <c r="U127" i="14"/>
  <c r="R127" i="14"/>
  <c r="Q127" i="14"/>
  <c r="P127" i="14"/>
  <c r="O127" i="14"/>
  <c r="N127" i="14"/>
  <c r="M127" i="14"/>
  <c r="L127" i="14"/>
  <c r="K127" i="14"/>
  <c r="J127" i="14"/>
  <c r="I127" i="14"/>
  <c r="H127" i="14"/>
  <c r="AR126" i="14"/>
  <c r="AQ126" i="14"/>
  <c r="AP126" i="14"/>
  <c r="AO126" i="14"/>
  <c r="AN126" i="14"/>
  <c r="AM126" i="14"/>
  <c r="AL126" i="14"/>
  <c r="AK126" i="14"/>
  <c r="AJ126" i="14"/>
  <c r="AI126" i="14"/>
  <c r="AH126" i="14"/>
  <c r="AE126" i="14"/>
  <c r="AD126" i="14"/>
  <c r="AC126" i="14"/>
  <c r="AB126" i="14"/>
  <c r="AA126" i="14"/>
  <c r="Z126" i="14"/>
  <c r="Y126" i="14"/>
  <c r="X126" i="14"/>
  <c r="W126" i="14"/>
  <c r="V126" i="14"/>
  <c r="U126" i="14"/>
  <c r="R126" i="14"/>
  <c r="Q126" i="14"/>
  <c r="P126" i="14"/>
  <c r="O126" i="14"/>
  <c r="N126" i="14"/>
  <c r="M126" i="14"/>
  <c r="L126" i="14"/>
  <c r="K126" i="14"/>
  <c r="J126" i="14"/>
  <c r="I126" i="14"/>
  <c r="H126" i="14"/>
  <c r="AR125" i="14"/>
  <c r="AQ125" i="14"/>
  <c r="AP125" i="14"/>
  <c r="AO125" i="14"/>
  <c r="AN125" i="14"/>
  <c r="AM125" i="14"/>
  <c r="AL125" i="14"/>
  <c r="AK125" i="14"/>
  <c r="AJ125" i="14"/>
  <c r="AI125" i="14"/>
  <c r="AH125" i="14"/>
  <c r="AE125" i="14"/>
  <c r="AD125" i="14"/>
  <c r="AC125" i="14"/>
  <c r="AB125" i="14"/>
  <c r="AA125" i="14"/>
  <c r="Z125" i="14"/>
  <c r="Y125" i="14"/>
  <c r="X125" i="14"/>
  <c r="W125" i="14"/>
  <c r="V125" i="14"/>
  <c r="U125" i="14"/>
  <c r="R125" i="14"/>
  <c r="Q125" i="14"/>
  <c r="P125" i="14"/>
  <c r="O125" i="14"/>
  <c r="N125" i="14"/>
  <c r="M125" i="14"/>
  <c r="L125" i="14"/>
  <c r="K125" i="14"/>
  <c r="J125" i="14"/>
  <c r="I125" i="14"/>
  <c r="H125" i="14"/>
  <c r="AR124" i="14"/>
  <c r="AQ124" i="14"/>
  <c r="AP124" i="14"/>
  <c r="AO124" i="14"/>
  <c r="AN124" i="14"/>
  <c r="AM124" i="14"/>
  <c r="AL124" i="14"/>
  <c r="AK124" i="14"/>
  <c r="AJ124" i="14"/>
  <c r="AI124" i="14"/>
  <c r="AH124" i="14"/>
  <c r="AE124" i="14"/>
  <c r="AD124" i="14"/>
  <c r="AC124" i="14"/>
  <c r="AB124" i="14"/>
  <c r="AA124" i="14"/>
  <c r="Z124" i="14"/>
  <c r="Y124" i="14"/>
  <c r="X124" i="14"/>
  <c r="W124" i="14"/>
  <c r="V124" i="14"/>
  <c r="U124" i="14"/>
  <c r="R124" i="14"/>
  <c r="Q124" i="14"/>
  <c r="P124" i="14"/>
  <c r="O124" i="14"/>
  <c r="N124" i="14"/>
  <c r="M124" i="14"/>
  <c r="L124" i="14"/>
  <c r="K124" i="14"/>
  <c r="J124" i="14"/>
  <c r="I124" i="14"/>
  <c r="H124" i="14"/>
  <c r="AR123" i="14"/>
  <c r="AQ123" i="14"/>
  <c r="AP123" i="14"/>
  <c r="AO123" i="14"/>
  <c r="AN123" i="14"/>
  <c r="AM123" i="14"/>
  <c r="AL123" i="14"/>
  <c r="AK123" i="14"/>
  <c r="AJ123" i="14"/>
  <c r="AI123" i="14"/>
  <c r="AH123" i="14"/>
  <c r="AE123" i="14"/>
  <c r="AD123" i="14"/>
  <c r="AC123" i="14"/>
  <c r="AB123" i="14"/>
  <c r="AA123" i="14"/>
  <c r="Z123" i="14"/>
  <c r="Y123" i="14"/>
  <c r="X123" i="14"/>
  <c r="W123" i="14"/>
  <c r="V123" i="14"/>
  <c r="U123" i="14"/>
  <c r="R123" i="14"/>
  <c r="Q123" i="14"/>
  <c r="P123" i="14"/>
  <c r="O123" i="14"/>
  <c r="N123" i="14"/>
  <c r="M123" i="14"/>
  <c r="L123" i="14"/>
  <c r="K123" i="14"/>
  <c r="J123" i="14"/>
  <c r="I123" i="14"/>
  <c r="H123" i="14"/>
  <c r="AR122" i="14"/>
  <c r="AQ122" i="14"/>
  <c r="AP122" i="14"/>
  <c r="AO122" i="14"/>
  <c r="AN122" i="14"/>
  <c r="AM122" i="14"/>
  <c r="AL122" i="14"/>
  <c r="AK122" i="14"/>
  <c r="AJ122" i="14"/>
  <c r="AI122" i="14"/>
  <c r="AH122" i="14"/>
  <c r="AE122" i="14"/>
  <c r="AD122" i="14"/>
  <c r="AC122" i="14"/>
  <c r="AB122" i="14"/>
  <c r="AA122" i="14"/>
  <c r="Z122" i="14"/>
  <c r="Y122" i="14"/>
  <c r="X122" i="14"/>
  <c r="W122" i="14"/>
  <c r="V122" i="14"/>
  <c r="U122" i="14"/>
  <c r="R122" i="14"/>
  <c r="Q122" i="14"/>
  <c r="P122" i="14"/>
  <c r="O122" i="14"/>
  <c r="N122" i="14"/>
  <c r="M122" i="14"/>
  <c r="L122" i="14"/>
  <c r="K122" i="14"/>
  <c r="J122" i="14"/>
  <c r="I122" i="14"/>
  <c r="H122" i="14"/>
  <c r="AG118" i="14"/>
  <c r="T118" i="14"/>
  <c r="AR114" i="14"/>
  <c r="AQ114" i="14"/>
  <c r="AP114" i="14"/>
  <c r="AO114" i="14"/>
  <c r="AN114" i="14"/>
  <c r="AM114" i="14"/>
  <c r="AL114" i="14"/>
  <c r="AK114" i="14"/>
  <c r="AJ114" i="14"/>
  <c r="AI114" i="14"/>
  <c r="AH114" i="14"/>
  <c r="AE114" i="14"/>
  <c r="AD114" i="14"/>
  <c r="AC114" i="14"/>
  <c r="AB114" i="14"/>
  <c r="AA114" i="14"/>
  <c r="Z114" i="14"/>
  <c r="Y114" i="14"/>
  <c r="X114" i="14"/>
  <c r="W114" i="14"/>
  <c r="V114" i="14"/>
  <c r="U114" i="14"/>
  <c r="R114" i="14"/>
  <c r="Q114" i="14"/>
  <c r="P114" i="14"/>
  <c r="O114" i="14"/>
  <c r="N114" i="14"/>
  <c r="M114" i="14"/>
  <c r="L114" i="14"/>
  <c r="K114" i="14"/>
  <c r="J114" i="14"/>
  <c r="I114" i="14"/>
  <c r="H114" i="14"/>
  <c r="AR113" i="14"/>
  <c r="AQ113" i="14"/>
  <c r="AP113" i="14"/>
  <c r="AO113" i="14"/>
  <c r="AN113" i="14"/>
  <c r="AM113" i="14"/>
  <c r="AL113" i="14"/>
  <c r="AK113" i="14"/>
  <c r="AJ113" i="14"/>
  <c r="AI113" i="14"/>
  <c r="AH113" i="14"/>
  <c r="AE113" i="14"/>
  <c r="AD113" i="14"/>
  <c r="AC113" i="14"/>
  <c r="AB113" i="14"/>
  <c r="AA113" i="14"/>
  <c r="Z113" i="14"/>
  <c r="Y113" i="14"/>
  <c r="X113" i="14"/>
  <c r="W113" i="14"/>
  <c r="V113" i="14"/>
  <c r="U113" i="14"/>
  <c r="R113" i="14"/>
  <c r="Q113" i="14"/>
  <c r="P113" i="14"/>
  <c r="O113" i="14"/>
  <c r="N113" i="14"/>
  <c r="M113" i="14"/>
  <c r="L113" i="14"/>
  <c r="K113" i="14"/>
  <c r="J113" i="14"/>
  <c r="I113" i="14"/>
  <c r="H113" i="14"/>
  <c r="AR112" i="14"/>
  <c r="AQ112" i="14"/>
  <c r="AP112" i="14"/>
  <c r="AO112" i="14"/>
  <c r="AN112" i="14"/>
  <c r="AM112" i="14"/>
  <c r="AL112" i="14"/>
  <c r="AK112" i="14"/>
  <c r="AJ112" i="14"/>
  <c r="AI112" i="14"/>
  <c r="AH112" i="14"/>
  <c r="AE112" i="14"/>
  <c r="AD112" i="14"/>
  <c r="AC112" i="14"/>
  <c r="AB112" i="14"/>
  <c r="AA112" i="14"/>
  <c r="Z112" i="14"/>
  <c r="Y112" i="14"/>
  <c r="X112" i="14"/>
  <c r="W112" i="14"/>
  <c r="V112" i="14"/>
  <c r="U112" i="14"/>
  <c r="R112" i="14"/>
  <c r="Q112" i="14"/>
  <c r="P112" i="14"/>
  <c r="O112" i="14"/>
  <c r="N112" i="14"/>
  <c r="M112" i="14"/>
  <c r="L112" i="14"/>
  <c r="K112" i="14"/>
  <c r="J112" i="14"/>
  <c r="I112" i="14"/>
  <c r="H112" i="14"/>
  <c r="AR111" i="14"/>
  <c r="AQ111" i="14"/>
  <c r="AP111" i="14"/>
  <c r="AO111" i="14"/>
  <c r="AN111" i="14"/>
  <c r="AM111" i="14"/>
  <c r="AL111" i="14"/>
  <c r="AK111" i="14"/>
  <c r="AJ111" i="14"/>
  <c r="AI111" i="14"/>
  <c r="AH111" i="14"/>
  <c r="AE111" i="14"/>
  <c r="AD111" i="14"/>
  <c r="AC111" i="14"/>
  <c r="AB111" i="14"/>
  <c r="AA111" i="14"/>
  <c r="Z111" i="14"/>
  <c r="Y111" i="14"/>
  <c r="X111" i="14"/>
  <c r="W111" i="14"/>
  <c r="V111" i="14"/>
  <c r="U111" i="14"/>
  <c r="R111" i="14"/>
  <c r="Q111" i="14"/>
  <c r="P111" i="14"/>
  <c r="O111" i="14"/>
  <c r="N111" i="14"/>
  <c r="M111" i="14"/>
  <c r="L111" i="14"/>
  <c r="K111" i="14"/>
  <c r="J111" i="14"/>
  <c r="I111" i="14"/>
  <c r="H111" i="14"/>
  <c r="AR110" i="14"/>
  <c r="AQ110" i="14"/>
  <c r="AP110" i="14"/>
  <c r="AO110" i="14"/>
  <c r="AN110" i="14"/>
  <c r="AM110" i="14"/>
  <c r="AL110" i="14"/>
  <c r="AK110" i="14"/>
  <c r="AJ110" i="14"/>
  <c r="AI110" i="14"/>
  <c r="AH110" i="14"/>
  <c r="AE110" i="14"/>
  <c r="AD110" i="14"/>
  <c r="AC110" i="14"/>
  <c r="AB110" i="14"/>
  <c r="AA110" i="14"/>
  <c r="Z110" i="14"/>
  <c r="Y110" i="14"/>
  <c r="X110" i="14"/>
  <c r="W110" i="14"/>
  <c r="V110" i="14"/>
  <c r="U110" i="14"/>
  <c r="R110" i="14"/>
  <c r="Q110" i="14"/>
  <c r="P110" i="14"/>
  <c r="O110" i="14"/>
  <c r="N110" i="14"/>
  <c r="M110" i="14"/>
  <c r="L110" i="14"/>
  <c r="K110" i="14"/>
  <c r="J110" i="14"/>
  <c r="I110" i="14"/>
  <c r="H110" i="14"/>
  <c r="AR109" i="14"/>
  <c r="AQ109" i="14"/>
  <c r="AP109" i="14"/>
  <c r="AO109" i="14"/>
  <c r="AN109" i="14"/>
  <c r="AM109" i="14"/>
  <c r="AL109" i="14"/>
  <c r="AK109" i="14"/>
  <c r="AJ109" i="14"/>
  <c r="AI109" i="14"/>
  <c r="AH109" i="14"/>
  <c r="AE109" i="14"/>
  <c r="AD109" i="14"/>
  <c r="AC109" i="14"/>
  <c r="AB109" i="14"/>
  <c r="AA109" i="14"/>
  <c r="Z109" i="14"/>
  <c r="Y109" i="14"/>
  <c r="X109" i="14"/>
  <c r="W109" i="14"/>
  <c r="V109" i="14"/>
  <c r="U109" i="14"/>
  <c r="R109" i="14"/>
  <c r="Q109" i="14"/>
  <c r="P109" i="14"/>
  <c r="O109" i="14"/>
  <c r="N109" i="14"/>
  <c r="M109" i="14"/>
  <c r="L109" i="14"/>
  <c r="K109" i="14"/>
  <c r="J109" i="14"/>
  <c r="I109" i="14"/>
  <c r="H109" i="14"/>
  <c r="AR108" i="14"/>
  <c r="AQ108" i="14"/>
  <c r="AP108" i="14"/>
  <c r="AO108" i="14"/>
  <c r="AN108" i="14"/>
  <c r="AM108" i="14"/>
  <c r="AL108" i="14"/>
  <c r="AK108" i="14"/>
  <c r="AJ108" i="14"/>
  <c r="AI108" i="14"/>
  <c r="AH108" i="14"/>
  <c r="AE108" i="14"/>
  <c r="AD108" i="14"/>
  <c r="AC108" i="14"/>
  <c r="AB108" i="14"/>
  <c r="AA108" i="14"/>
  <c r="Z108" i="14"/>
  <c r="Y108" i="14"/>
  <c r="X108" i="14"/>
  <c r="W108" i="14"/>
  <c r="V108" i="14"/>
  <c r="U108" i="14"/>
  <c r="R108" i="14"/>
  <c r="Q108" i="14"/>
  <c r="P108" i="14"/>
  <c r="O108" i="14"/>
  <c r="N108" i="14"/>
  <c r="M108" i="14"/>
  <c r="L108" i="14"/>
  <c r="K108" i="14"/>
  <c r="J108" i="14"/>
  <c r="I108" i="14"/>
  <c r="H108" i="14"/>
  <c r="AR107" i="14"/>
  <c r="AQ107" i="14"/>
  <c r="AP107" i="14"/>
  <c r="AO107" i="14"/>
  <c r="AN107" i="14"/>
  <c r="AM107" i="14"/>
  <c r="AL107" i="14"/>
  <c r="AK107" i="14"/>
  <c r="AJ107" i="14"/>
  <c r="AI107" i="14"/>
  <c r="AH107" i="14"/>
  <c r="AE107" i="14"/>
  <c r="AD107" i="14"/>
  <c r="AC107" i="14"/>
  <c r="AB107" i="14"/>
  <c r="AA107" i="14"/>
  <c r="Z107" i="14"/>
  <c r="Y107" i="14"/>
  <c r="X107" i="14"/>
  <c r="W107" i="14"/>
  <c r="V107" i="14"/>
  <c r="U107" i="14"/>
  <c r="R107" i="14"/>
  <c r="Q107" i="14"/>
  <c r="P107" i="14"/>
  <c r="O107" i="14"/>
  <c r="N107" i="14"/>
  <c r="M107" i="14"/>
  <c r="L107" i="14"/>
  <c r="K107" i="14"/>
  <c r="J107" i="14"/>
  <c r="I107" i="14"/>
  <c r="H107" i="14"/>
  <c r="AR106" i="14"/>
  <c r="AQ106" i="14"/>
  <c r="AP106" i="14"/>
  <c r="AO106" i="14"/>
  <c r="AN106" i="14"/>
  <c r="AM106" i="14"/>
  <c r="AL106" i="14"/>
  <c r="AK106" i="14"/>
  <c r="AJ106" i="14"/>
  <c r="AI106" i="14"/>
  <c r="AH106" i="14"/>
  <c r="AE106" i="14"/>
  <c r="AD106" i="14"/>
  <c r="AC106" i="14"/>
  <c r="AB106" i="14"/>
  <c r="AA106" i="14"/>
  <c r="Z106" i="14"/>
  <c r="Y106" i="14"/>
  <c r="X106" i="14"/>
  <c r="W106" i="14"/>
  <c r="V106" i="14"/>
  <c r="U106" i="14"/>
  <c r="R106" i="14"/>
  <c r="Q106" i="14"/>
  <c r="P106" i="14"/>
  <c r="O106" i="14"/>
  <c r="N106" i="14"/>
  <c r="M106" i="14"/>
  <c r="L106" i="14"/>
  <c r="K106" i="14"/>
  <c r="J106" i="14"/>
  <c r="I106" i="14"/>
  <c r="H106" i="14"/>
  <c r="AR105" i="14"/>
  <c r="AQ105" i="14"/>
  <c r="AP105" i="14"/>
  <c r="AO105" i="14"/>
  <c r="AN105" i="14"/>
  <c r="AM105" i="14"/>
  <c r="AL105" i="14"/>
  <c r="AK105" i="14"/>
  <c r="AJ105" i="14"/>
  <c r="AI105" i="14"/>
  <c r="AH105" i="14"/>
  <c r="AE105" i="14"/>
  <c r="AD105" i="14"/>
  <c r="AC105" i="14"/>
  <c r="AB105" i="14"/>
  <c r="AA105" i="14"/>
  <c r="Z105" i="14"/>
  <c r="Y105" i="14"/>
  <c r="X105" i="14"/>
  <c r="W105" i="14"/>
  <c r="V105" i="14"/>
  <c r="U105" i="14"/>
  <c r="R105" i="14"/>
  <c r="Q105" i="14"/>
  <c r="P105" i="14"/>
  <c r="O105" i="14"/>
  <c r="N105" i="14"/>
  <c r="M105" i="14"/>
  <c r="L105" i="14"/>
  <c r="K105" i="14"/>
  <c r="J105" i="14"/>
  <c r="I105" i="14"/>
  <c r="H105" i="14"/>
  <c r="AR104" i="14"/>
  <c r="AQ104" i="14"/>
  <c r="AP104" i="14"/>
  <c r="AO104" i="14"/>
  <c r="AN104" i="14"/>
  <c r="AM104" i="14"/>
  <c r="AL104" i="14"/>
  <c r="AK104" i="14"/>
  <c r="AJ104" i="14"/>
  <c r="AI104" i="14"/>
  <c r="AH104" i="14"/>
  <c r="AE104" i="14"/>
  <c r="AD104" i="14"/>
  <c r="AC104" i="14"/>
  <c r="AB104" i="14"/>
  <c r="AA104" i="14"/>
  <c r="Z104" i="14"/>
  <c r="Y104" i="14"/>
  <c r="X104" i="14"/>
  <c r="W104" i="14"/>
  <c r="V104" i="14"/>
  <c r="U104" i="14"/>
  <c r="R104" i="14"/>
  <c r="Q104" i="14"/>
  <c r="P104" i="14"/>
  <c r="O104" i="14"/>
  <c r="N104" i="14"/>
  <c r="M104" i="14"/>
  <c r="L104" i="14"/>
  <c r="K104" i="14"/>
  <c r="J104" i="14"/>
  <c r="I104" i="14"/>
  <c r="H104" i="14"/>
  <c r="AR103" i="14"/>
  <c r="AQ103" i="14"/>
  <c r="AP103" i="14"/>
  <c r="AO103" i="14"/>
  <c r="AN103" i="14"/>
  <c r="AM103" i="14"/>
  <c r="AL103" i="14"/>
  <c r="AK103" i="14"/>
  <c r="AJ103" i="14"/>
  <c r="AI103" i="14"/>
  <c r="AH103" i="14"/>
  <c r="AE103" i="14"/>
  <c r="AD103" i="14"/>
  <c r="AC103" i="14"/>
  <c r="AB103" i="14"/>
  <c r="AA103" i="14"/>
  <c r="Z103" i="14"/>
  <c r="Y103" i="14"/>
  <c r="X103" i="14"/>
  <c r="W103" i="14"/>
  <c r="V103" i="14"/>
  <c r="U103" i="14"/>
  <c r="R103" i="14"/>
  <c r="Q103" i="14"/>
  <c r="P103" i="14"/>
  <c r="O103" i="14"/>
  <c r="N103" i="14"/>
  <c r="M103" i="14"/>
  <c r="L103" i="14"/>
  <c r="K103" i="14"/>
  <c r="J103" i="14"/>
  <c r="I103" i="14"/>
  <c r="H103" i="14"/>
  <c r="AR102" i="14"/>
  <c r="AQ102" i="14"/>
  <c r="AP102" i="14"/>
  <c r="AO102" i="14"/>
  <c r="AN102" i="14"/>
  <c r="AM102" i="14"/>
  <c r="AL102" i="14"/>
  <c r="AK102" i="14"/>
  <c r="AJ102" i="14"/>
  <c r="AI102" i="14"/>
  <c r="AH102" i="14"/>
  <c r="AE102" i="14"/>
  <c r="AD102" i="14"/>
  <c r="AC102" i="14"/>
  <c r="AB102" i="14"/>
  <c r="AA102" i="14"/>
  <c r="Z102" i="14"/>
  <c r="Y102" i="14"/>
  <c r="X102" i="14"/>
  <c r="W102" i="14"/>
  <c r="V102" i="14"/>
  <c r="U102" i="14"/>
  <c r="R102" i="14"/>
  <c r="Q102" i="14"/>
  <c r="P102" i="14"/>
  <c r="O102" i="14"/>
  <c r="N102" i="14"/>
  <c r="M102" i="14"/>
  <c r="L102" i="14"/>
  <c r="K102" i="14"/>
  <c r="J102" i="14"/>
  <c r="I102" i="14"/>
  <c r="H102" i="14"/>
  <c r="AR101" i="14"/>
  <c r="AQ101" i="14"/>
  <c r="AP101" i="14"/>
  <c r="AO101" i="14"/>
  <c r="AN101" i="14"/>
  <c r="AM101" i="14"/>
  <c r="AL101" i="14"/>
  <c r="AK101" i="14"/>
  <c r="AJ101" i="14"/>
  <c r="AI101" i="14"/>
  <c r="AH101" i="14"/>
  <c r="AE101" i="14"/>
  <c r="AD101" i="14"/>
  <c r="AC101" i="14"/>
  <c r="AB101" i="14"/>
  <c r="AA101" i="14"/>
  <c r="Z101" i="14"/>
  <c r="Y101" i="14"/>
  <c r="X101" i="14"/>
  <c r="W101" i="14"/>
  <c r="V101" i="14"/>
  <c r="U101" i="14"/>
  <c r="R101" i="14"/>
  <c r="Q101" i="14"/>
  <c r="P101" i="14"/>
  <c r="O101" i="14"/>
  <c r="N101" i="14"/>
  <c r="M101" i="14"/>
  <c r="L101" i="14"/>
  <c r="K101" i="14"/>
  <c r="J101" i="14"/>
  <c r="I101" i="14"/>
  <c r="H101" i="14"/>
  <c r="AR100" i="14"/>
  <c r="AQ100" i="14"/>
  <c r="AP100" i="14"/>
  <c r="AO100" i="14"/>
  <c r="AN100" i="14"/>
  <c r="AM100" i="14"/>
  <c r="AL100" i="14"/>
  <c r="AK100" i="14"/>
  <c r="AJ100" i="14"/>
  <c r="AI100" i="14"/>
  <c r="AH100" i="14"/>
  <c r="AE100" i="14"/>
  <c r="AD100" i="14"/>
  <c r="AC100" i="14"/>
  <c r="AB100" i="14"/>
  <c r="AA100" i="14"/>
  <c r="Z100" i="14"/>
  <c r="Y100" i="14"/>
  <c r="X100" i="14"/>
  <c r="W100" i="14"/>
  <c r="V100" i="14"/>
  <c r="U100" i="14"/>
  <c r="R100" i="14"/>
  <c r="Q100" i="14"/>
  <c r="P100" i="14"/>
  <c r="O100" i="14"/>
  <c r="N100" i="14"/>
  <c r="M100" i="14"/>
  <c r="L100" i="14"/>
  <c r="K100" i="14"/>
  <c r="J100" i="14"/>
  <c r="I100" i="14"/>
  <c r="H100" i="14"/>
  <c r="AR99" i="14"/>
  <c r="AQ99" i="14"/>
  <c r="AP99" i="14"/>
  <c r="AO99" i="14"/>
  <c r="AN99" i="14"/>
  <c r="AM99" i="14"/>
  <c r="AL99" i="14"/>
  <c r="AK99" i="14"/>
  <c r="AJ99" i="14"/>
  <c r="AI99" i="14"/>
  <c r="AH99" i="14"/>
  <c r="AE99" i="14"/>
  <c r="AD99" i="14"/>
  <c r="AC99" i="14"/>
  <c r="AB99" i="14"/>
  <c r="AA99" i="14"/>
  <c r="Z99" i="14"/>
  <c r="Y99" i="14"/>
  <c r="X99" i="14"/>
  <c r="W99" i="14"/>
  <c r="V99" i="14"/>
  <c r="U99" i="14"/>
  <c r="R99" i="14"/>
  <c r="Q99" i="14"/>
  <c r="P99" i="14"/>
  <c r="O99" i="14"/>
  <c r="N99" i="14"/>
  <c r="M99" i="14"/>
  <c r="L99" i="14"/>
  <c r="K99" i="14"/>
  <c r="J99" i="14"/>
  <c r="I99" i="14"/>
  <c r="H99" i="14"/>
  <c r="AR98" i="14"/>
  <c r="AQ98" i="14"/>
  <c r="AP98" i="14"/>
  <c r="AO98" i="14"/>
  <c r="AN98" i="14"/>
  <c r="AM98" i="14"/>
  <c r="AL98" i="14"/>
  <c r="AK98" i="14"/>
  <c r="AJ98" i="14"/>
  <c r="AI98" i="14"/>
  <c r="AH98" i="14"/>
  <c r="AE98" i="14"/>
  <c r="AD98" i="14"/>
  <c r="AC98" i="14"/>
  <c r="AB98" i="14"/>
  <c r="AA98" i="14"/>
  <c r="Z98" i="14"/>
  <c r="Y98" i="14"/>
  <c r="X98" i="14"/>
  <c r="W98" i="14"/>
  <c r="V98" i="14"/>
  <c r="U98" i="14"/>
  <c r="R98" i="14"/>
  <c r="Q98" i="14"/>
  <c r="P98" i="14"/>
  <c r="O98" i="14"/>
  <c r="N98" i="14"/>
  <c r="M98" i="14"/>
  <c r="L98" i="14"/>
  <c r="K98" i="14"/>
  <c r="J98" i="14"/>
  <c r="I98" i="14"/>
  <c r="H98" i="14"/>
  <c r="AR97" i="14"/>
  <c r="AQ97" i="14"/>
  <c r="AP97" i="14"/>
  <c r="AO97" i="14"/>
  <c r="AN97" i="14"/>
  <c r="AM97" i="14"/>
  <c r="AL97" i="14"/>
  <c r="AK97" i="14"/>
  <c r="AJ97" i="14"/>
  <c r="AI97" i="14"/>
  <c r="AH97" i="14"/>
  <c r="AE97" i="14"/>
  <c r="AD97" i="14"/>
  <c r="AC97" i="14"/>
  <c r="AB97" i="14"/>
  <c r="AA97" i="14"/>
  <c r="Z97" i="14"/>
  <c r="Y97" i="14"/>
  <c r="X97" i="14"/>
  <c r="W97" i="14"/>
  <c r="V97" i="14"/>
  <c r="U97" i="14"/>
  <c r="R97" i="14"/>
  <c r="Q97" i="14"/>
  <c r="P97" i="14"/>
  <c r="O97" i="14"/>
  <c r="N97" i="14"/>
  <c r="M97" i="14"/>
  <c r="L97" i="14"/>
  <c r="K97" i="14"/>
  <c r="J97" i="14"/>
  <c r="I97" i="14"/>
  <c r="H97" i="14"/>
  <c r="AR96" i="14"/>
  <c r="AQ96" i="14"/>
  <c r="AP96" i="14"/>
  <c r="AO96" i="14"/>
  <c r="AN96" i="14"/>
  <c r="AM96" i="14"/>
  <c r="AL96" i="14"/>
  <c r="AK96" i="14"/>
  <c r="AJ96" i="14"/>
  <c r="AI96" i="14"/>
  <c r="AH96" i="14"/>
  <c r="AE96" i="14"/>
  <c r="AD96" i="14"/>
  <c r="AC96" i="14"/>
  <c r="AB96" i="14"/>
  <c r="AA96" i="14"/>
  <c r="Z96" i="14"/>
  <c r="Y96" i="14"/>
  <c r="X96" i="14"/>
  <c r="W96" i="14"/>
  <c r="V96" i="14"/>
  <c r="U96" i="14"/>
  <c r="R96" i="14"/>
  <c r="Q96" i="14"/>
  <c r="P96" i="14"/>
  <c r="O96" i="14"/>
  <c r="N96" i="14"/>
  <c r="M96" i="14"/>
  <c r="L96" i="14"/>
  <c r="K96" i="14"/>
  <c r="J96" i="14"/>
  <c r="I96" i="14"/>
  <c r="H96" i="14"/>
  <c r="AR95" i="14"/>
  <c r="AQ95" i="14"/>
  <c r="AP95" i="14"/>
  <c r="AO95" i="14"/>
  <c r="AN95" i="14"/>
  <c r="AM95" i="14"/>
  <c r="AL95" i="14"/>
  <c r="AK95" i="14"/>
  <c r="AJ95" i="14"/>
  <c r="AI95" i="14"/>
  <c r="AH95" i="14"/>
  <c r="AE95" i="14"/>
  <c r="AD95" i="14"/>
  <c r="AC95" i="14"/>
  <c r="AB95" i="14"/>
  <c r="AA95" i="14"/>
  <c r="Z95" i="14"/>
  <c r="Y95" i="14"/>
  <c r="X95" i="14"/>
  <c r="W95" i="14"/>
  <c r="V95" i="14"/>
  <c r="U95" i="14"/>
  <c r="R95" i="14"/>
  <c r="Q95" i="14"/>
  <c r="P95" i="14"/>
  <c r="O95" i="14"/>
  <c r="N95" i="14"/>
  <c r="M95" i="14"/>
  <c r="L95" i="14"/>
  <c r="K95" i="14"/>
  <c r="J95" i="14"/>
  <c r="I95" i="14"/>
  <c r="H95" i="14"/>
  <c r="AR94" i="14"/>
  <c r="AQ94" i="14"/>
  <c r="AP94" i="14"/>
  <c r="AO94" i="14"/>
  <c r="AN94" i="14"/>
  <c r="AM94" i="14"/>
  <c r="AL94" i="14"/>
  <c r="AK94" i="14"/>
  <c r="AJ94" i="14"/>
  <c r="AI94" i="14"/>
  <c r="AH94" i="14"/>
  <c r="AE94" i="14"/>
  <c r="AD94" i="14"/>
  <c r="AC94" i="14"/>
  <c r="AB94" i="14"/>
  <c r="AA94" i="14"/>
  <c r="Z94" i="14"/>
  <c r="Y94" i="14"/>
  <c r="X94" i="14"/>
  <c r="W94" i="14"/>
  <c r="V94" i="14"/>
  <c r="U94" i="14"/>
  <c r="R94" i="14"/>
  <c r="Q94" i="14"/>
  <c r="P94" i="14"/>
  <c r="O94" i="14"/>
  <c r="N94" i="14"/>
  <c r="M94" i="14"/>
  <c r="L94" i="14"/>
  <c r="K94" i="14"/>
  <c r="J94" i="14"/>
  <c r="I94" i="14"/>
  <c r="H94" i="14"/>
  <c r="AG90" i="14"/>
  <c r="T90" i="14"/>
  <c r="AR86" i="14"/>
  <c r="AQ86" i="14"/>
  <c r="AP86" i="14"/>
  <c r="AO86" i="14"/>
  <c r="AN86" i="14"/>
  <c r="AM86" i="14"/>
  <c r="AL86" i="14"/>
  <c r="AK86" i="14"/>
  <c r="AJ86" i="14"/>
  <c r="AI86" i="14"/>
  <c r="AH86" i="14"/>
  <c r="AE86" i="14"/>
  <c r="AD86" i="14"/>
  <c r="AC86" i="14"/>
  <c r="AB86" i="14"/>
  <c r="AA86" i="14"/>
  <c r="Z86" i="14"/>
  <c r="Y86" i="14"/>
  <c r="X86" i="14"/>
  <c r="W86" i="14"/>
  <c r="V86" i="14"/>
  <c r="U86" i="14"/>
  <c r="R86" i="14"/>
  <c r="Q86" i="14"/>
  <c r="P86" i="14"/>
  <c r="O86" i="14"/>
  <c r="N86" i="14"/>
  <c r="M86" i="14"/>
  <c r="L86" i="14"/>
  <c r="K86" i="14"/>
  <c r="J86" i="14"/>
  <c r="I86" i="14"/>
  <c r="H86" i="14"/>
  <c r="AR85" i="14"/>
  <c r="AQ85" i="14"/>
  <c r="AP85" i="14"/>
  <c r="AO85" i="14"/>
  <c r="AN85" i="14"/>
  <c r="AM85" i="14"/>
  <c r="AL85" i="14"/>
  <c r="AK85" i="14"/>
  <c r="AJ85" i="14"/>
  <c r="AI85" i="14"/>
  <c r="AH85" i="14"/>
  <c r="AE85" i="14"/>
  <c r="AD85" i="14"/>
  <c r="AC85" i="14"/>
  <c r="AB85" i="14"/>
  <c r="AA85" i="14"/>
  <c r="Z85" i="14"/>
  <c r="Y85" i="14"/>
  <c r="X85" i="14"/>
  <c r="W85" i="14"/>
  <c r="V85" i="14"/>
  <c r="U85" i="14"/>
  <c r="R85" i="14"/>
  <c r="Q85" i="14"/>
  <c r="P85" i="14"/>
  <c r="O85" i="14"/>
  <c r="N85" i="14"/>
  <c r="M85" i="14"/>
  <c r="L85" i="14"/>
  <c r="K85" i="14"/>
  <c r="J85" i="14"/>
  <c r="I85" i="14"/>
  <c r="H85" i="14"/>
  <c r="AR84" i="14"/>
  <c r="AQ84" i="14"/>
  <c r="AP84" i="14"/>
  <c r="AO84" i="14"/>
  <c r="AN84" i="14"/>
  <c r="AM84" i="14"/>
  <c r="AL84" i="14"/>
  <c r="AK84" i="14"/>
  <c r="AJ84" i="14"/>
  <c r="AI84" i="14"/>
  <c r="AH84" i="14"/>
  <c r="AE84" i="14"/>
  <c r="AD84" i="14"/>
  <c r="AC84" i="14"/>
  <c r="AB84" i="14"/>
  <c r="AA84" i="14"/>
  <c r="Z84" i="14"/>
  <c r="Y84" i="14"/>
  <c r="X84" i="14"/>
  <c r="W84" i="14"/>
  <c r="V84" i="14"/>
  <c r="U84" i="14"/>
  <c r="R84" i="14"/>
  <c r="Q84" i="14"/>
  <c r="P84" i="14"/>
  <c r="O84" i="14"/>
  <c r="N84" i="14"/>
  <c r="M84" i="14"/>
  <c r="L84" i="14"/>
  <c r="K84" i="14"/>
  <c r="J84" i="14"/>
  <c r="I84" i="14"/>
  <c r="H84" i="14"/>
  <c r="AR83" i="14"/>
  <c r="AQ83" i="14"/>
  <c r="AP83" i="14"/>
  <c r="AO83" i="14"/>
  <c r="AN83" i="14"/>
  <c r="AM83" i="14"/>
  <c r="AL83" i="14"/>
  <c r="AK83" i="14"/>
  <c r="AJ83" i="14"/>
  <c r="AI83" i="14"/>
  <c r="AH83" i="14"/>
  <c r="AE83" i="14"/>
  <c r="AD83" i="14"/>
  <c r="AC83" i="14"/>
  <c r="AB83" i="14"/>
  <c r="AA83" i="14"/>
  <c r="Z83" i="14"/>
  <c r="Y83" i="14"/>
  <c r="X83" i="14"/>
  <c r="W83" i="14"/>
  <c r="V83" i="14"/>
  <c r="U83" i="14"/>
  <c r="R83" i="14"/>
  <c r="Q83" i="14"/>
  <c r="P83" i="14"/>
  <c r="O83" i="14"/>
  <c r="N83" i="14"/>
  <c r="M83" i="14"/>
  <c r="L83" i="14"/>
  <c r="K83" i="14"/>
  <c r="J83" i="14"/>
  <c r="I83" i="14"/>
  <c r="H83" i="14"/>
  <c r="AR82" i="14"/>
  <c r="AQ82" i="14"/>
  <c r="AP82" i="14"/>
  <c r="AO82" i="14"/>
  <c r="AN82" i="14"/>
  <c r="AM82" i="14"/>
  <c r="AL82" i="14"/>
  <c r="AK82" i="14"/>
  <c r="AJ82" i="14"/>
  <c r="AI82" i="14"/>
  <c r="AH82" i="14"/>
  <c r="AE82" i="14"/>
  <c r="AD82" i="14"/>
  <c r="AC82" i="14"/>
  <c r="AB82" i="14"/>
  <c r="AA82" i="14"/>
  <c r="Z82" i="14"/>
  <c r="Y82" i="14"/>
  <c r="X82" i="14"/>
  <c r="W82" i="14"/>
  <c r="V82" i="14"/>
  <c r="U82" i="14"/>
  <c r="R82" i="14"/>
  <c r="Q82" i="14"/>
  <c r="P82" i="14"/>
  <c r="O82" i="14"/>
  <c r="N82" i="14"/>
  <c r="M82" i="14"/>
  <c r="L82" i="14"/>
  <c r="K82" i="14"/>
  <c r="J82" i="14"/>
  <c r="I82" i="14"/>
  <c r="H82" i="14"/>
  <c r="AR81" i="14"/>
  <c r="AQ81" i="14"/>
  <c r="AP81" i="14"/>
  <c r="AO81" i="14"/>
  <c r="AN81" i="14"/>
  <c r="AM81" i="14"/>
  <c r="AL81" i="14"/>
  <c r="AK81" i="14"/>
  <c r="AJ81" i="14"/>
  <c r="AI81" i="14"/>
  <c r="AH81" i="14"/>
  <c r="AE81" i="14"/>
  <c r="AD81" i="14"/>
  <c r="AC81" i="14"/>
  <c r="AB81" i="14"/>
  <c r="AA81" i="14"/>
  <c r="Z81" i="14"/>
  <c r="Y81" i="14"/>
  <c r="X81" i="14"/>
  <c r="W81" i="14"/>
  <c r="V81" i="14"/>
  <c r="U81" i="14"/>
  <c r="R81" i="14"/>
  <c r="Q81" i="14"/>
  <c r="P81" i="14"/>
  <c r="O81" i="14"/>
  <c r="N81" i="14"/>
  <c r="M81" i="14"/>
  <c r="L81" i="14"/>
  <c r="K81" i="14"/>
  <c r="J81" i="14"/>
  <c r="I81" i="14"/>
  <c r="H81" i="14"/>
  <c r="AR80" i="14"/>
  <c r="AQ80" i="14"/>
  <c r="AP80" i="14"/>
  <c r="AO80" i="14"/>
  <c r="AN80" i="14"/>
  <c r="AM80" i="14"/>
  <c r="AL80" i="14"/>
  <c r="AK80" i="14"/>
  <c r="AJ80" i="14"/>
  <c r="AI80" i="14"/>
  <c r="AH80" i="14"/>
  <c r="AE80" i="14"/>
  <c r="AD80" i="14"/>
  <c r="AC80" i="14"/>
  <c r="AB80" i="14"/>
  <c r="AA80" i="14"/>
  <c r="Z80" i="14"/>
  <c r="Y80" i="14"/>
  <c r="X80" i="14"/>
  <c r="W80" i="14"/>
  <c r="V80" i="14"/>
  <c r="U80" i="14"/>
  <c r="R80" i="14"/>
  <c r="Q80" i="14"/>
  <c r="P80" i="14"/>
  <c r="O80" i="14"/>
  <c r="N80" i="14"/>
  <c r="M80" i="14"/>
  <c r="L80" i="14"/>
  <c r="K80" i="14"/>
  <c r="J80" i="14"/>
  <c r="I80" i="14"/>
  <c r="H80" i="14"/>
  <c r="AR79" i="14"/>
  <c r="AQ79" i="14"/>
  <c r="AP79" i="14"/>
  <c r="AO79" i="14"/>
  <c r="AN79" i="14"/>
  <c r="AM79" i="14"/>
  <c r="AL79" i="14"/>
  <c r="AK79" i="14"/>
  <c r="AJ79" i="14"/>
  <c r="AI79" i="14"/>
  <c r="AH79" i="14"/>
  <c r="AE79" i="14"/>
  <c r="AD79" i="14"/>
  <c r="AC79" i="14"/>
  <c r="AB79" i="14"/>
  <c r="AA79" i="14"/>
  <c r="Z79" i="14"/>
  <c r="Y79" i="14"/>
  <c r="X79" i="14"/>
  <c r="W79" i="14"/>
  <c r="V79" i="14"/>
  <c r="U79" i="14"/>
  <c r="R79" i="14"/>
  <c r="Q79" i="14"/>
  <c r="P79" i="14"/>
  <c r="O79" i="14"/>
  <c r="N79" i="14"/>
  <c r="M79" i="14"/>
  <c r="L79" i="14"/>
  <c r="K79" i="14"/>
  <c r="J79" i="14"/>
  <c r="I79" i="14"/>
  <c r="H79" i="14"/>
  <c r="AR78" i="14"/>
  <c r="AQ78" i="14"/>
  <c r="AP78" i="14"/>
  <c r="AO78" i="14"/>
  <c r="AN78" i="14"/>
  <c r="AM78" i="14"/>
  <c r="AL78" i="14"/>
  <c r="AK78" i="14"/>
  <c r="AJ78" i="14"/>
  <c r="AI78" i="14"/>
  <c r="AH78" i="14"/>
  <c r="AE78" i="14"/>
  <c r="AD78" i="14"/>
  <c r="AC78" i="14"/>
  <c r="AB78" i="14"/>
  <c r="AA78" i="14"/>
  <c r="Z78" i="14"/>
  <c r="Y78" i="14"/>
  <c r="X78" i="14"/>
  <c r="W78" i="14"/>
  <c r="V78" i="14"/>
  <c r="U78" i="14"/>
  <c r="R78" i="14"/>
  <c r="Q78" i="14"/>
  <c r="P78" i="14"/>
  <c r="O78" i="14"/>
  <c r="N78" i="14"/>
  <c r="M78" i="14"/>
  <c r="L78" i="14"/>
  <c r="K78" i="14"/>
  <c r="J78" i="14"/>
  <c r="I78" i="14"/>
  <c r="H78" i="14"/>
  <c r="AR77" i="14"/>
  <c r="AQ77" i="14"/>
  <c r="AP77" i="14"/>
  <c r="AO77" i="14"/>
  <c r="AN77" i="14"/>
  <c r="AM77" i="14"/>
  <c r="AL77" i="14"/>
  <c r="AK77" i="14"/>
  <c r="AJ77" i="14"/>
  <c r="AI77" i="14"/>
  <c r="AH77" i="14"/>
  <c r="AE77" i="14"/>
  <c r="AD77" i="14"/>
  <c r="AC77" i="14"/>
  <c r="AB77" i="14"/>
  <c r="AA77" i="14"/>
  <c r="Z77" i="14"/>
  <c r="Y77" i="14"/>
  <c r="X77" i="14"/>
  <c r="W77" i="14"/>
  <c r="V77" i="14"/>
  <c r="U77" i="14"/>
  <c r="R77" i="14"/>
  <c r="Q77" i="14"/>
  <c r="P77" i="14"/>
  <c r="O77" i="14"/>
  <c r="N77" i="14"/>
  <c r="M77" i="14"/>
  <c r="L77" i="14"/>
  <c r="K77" i="14"/>
  <c r="J77" i="14"/>
  <c r="I77" i="14"/>
  <c r="H77" i="14"/>
  <c r="AR76" i="14"/>
  <c r="AQ76" i="14"/>
  <c r="AP76" i="14"/>
  <c r="AO76" i="14"/>
  <c r="AN76" i="14"/>
  <c r="AM76" i="14"/>
  <c r="AL76" i="14"/>
  <c r="AK76" i="14"/>
  <c r="AJ76" i="14"/>
  <c r="AI76" i="14"/>
  <c r="AH76" i="14"/>
  <c r="AE76" i="14"/>
  <c r="AD76" i="14"/>
  <c r="AC76" i="14"/>
  <c r="AB76" i="14"/>
  <c r="AA76" i="14"/>
  <c r="Z76" i="14"/>
  <c r="Y76" i="14"/>
  <c r="X76" i="14"/>
  <c r="W76" i="14"/>
  <c r="V76" i="14"/>
  <c r="U76" i="14"/>
  <c r="R76" i="14"/>
  <c r="Q76" i="14"/>
  <c r="P76" i="14"/>
  <c r="N76" i="14"/>
  <c r="M76" i="14"/>
  <c r="L76" i="14"/>
  <c r="K76" i="14"/>
  <c r="J76" i="14"/>
  <c r="I76" i="14"/>
  <c r="H76" i="14"/>
  <c r="AR75" i="14"/>
  <c r="AQ75" i="14"/>
  <c r="AP75" i="14"/>
  <c r="AO75" i="14"/>
  <c r="AN75" i="14"/>
  <c r="AM75" i="14"/>
  <c r="AL75" i="14"/>
  <c r="AK75" i="14"/>
  <c r="AJ75" i="14"/>
  <c r="AI75" i="14"/>
  <c r="AH75" i="14"/>
  <c r="AE75" i="14"/>
  <c r="AD75" i="14"/>
  <c r="AC75" i="14"/>
  <c r="AB75" i="14"/>
  <c r="AA75" i="14"/>
  <c r="Z75" i="14"/>
  <c r="Y75" i="14"/>
  <c r="X75" i="14"/>
  <c r="W75" i="14"/>
  <c r="V75" i="14"/>
  <c r="U75" i="14"/>
  <c r="R75" i="14"/>
  <c r="Q75" i="14"/>
  <c r="P75" i="14"/>
  <c r="O75" i="14"/>
  <c r="N75" i="14"/>
  <c r="M75" i="14"/>
  <c r="L75" i="14"/>
  <c r="K75" i="14"/>
  <c r="J75" i="14"/>
  <c r="I75" i="14"/>
  <c r="H75" i="14"/>
  <c r="AR74" i="14"/>
  <c r="AQ74" i="14"/>
  <c r="AP74" i="14"/>
  <c r="AO74" i="14"/>
  <c r="AN74" i="14"/>
  <c r="AM74" i="14"/>
  <c r="AL74" i="14"/>
  <c r="AK74" i="14"/>
  <c r="AJ74" i="14"/>
  <c r="AI74" i="14"/>
  <c r="AH74" i="14"/>
  <c r="AE74" i="14"/>
  <c r="AD74" i="14"/>
  <c r="AC74" i="14"/>
  <c r="AB74" i="14"/>
  <c r="AA74" i="14"/>
  <c r="Z74" i="14"/>
  <c r="Y74" i="14"/>
  <c r="X74" i="14"/>
  <c r="W74" i="14"/>
  <c r="V74" i="14"/>
  <c r="U74" i="14"/>
  <c r="R74" i="14"/>
  <c r="Q74" i="14"/>
  <c r="P74" i="14"/>
  <c r="O74" i="14"/>
  <c r="N74" i="14"/>
  <c r="M74" i="14"/>
  <c r="L74" i="14"/>
  <c r="K74" i="14"/>
  <c r="J74" i="14"/>
  <c r="I74" i="14"/>
  <c r="H74" i="14"/>
  <c r="AR73" i="14"/>
  <c r="AQ73" i="14"/>
  <c r="AP73" i="14"/>
  <c r="AO73" i="14"/>
  <c r="AN73" i="14"/>
  <c r="AM73" i="14"/>
  <c r="AL73" i="14"/>
  <c r="AK73" i="14"/>
  <c r="AJ73" i="14"/>
  <c r="AI73" i="14"/>
  <c r="AH73" i="14"/>
  <c r="AE73" i="14"/>
  <c r="AD73" i="14"/>
  <c r="AC73" i="14"/>
  <c r="AB73" i="14"/>
  <c r="AA73" i="14"/>
  <c r="Z73" i="14"/>
  <c r="Y73" i="14"/>
  <c r="X73" i="14"/>
  <c r="W73" i="14"/>
  <c r="V73" i="14"/>
  <c r="U73" i="14"/>
  <c r="R73" i="14"/>
  <c r="Q73" i="14"/>
  <c r="P73" i="14"/>
  <c r="O73" i="14"/>
  <c r="N73" i="14"/>
  <c r="M73" i="14"/>
  <c r="L73" i="14"/>
  <c r="K73" i="14"/>
  <c r="J73" i="14"/>
  <c r="I73" i="14"/>
  <c r="H73" i="14"/>
  <c r="AR72" i="14"/>
  <c r="AQ72" i="14"/>
  <c r="AP72" i="14"/>
  <c r="AO72" i="14"/>
  <c r="AN72" i="14"/>
  <c r="AM72" i="14"/>
  <c r="AL72" i="14"/>
  <c r="AK72" i="14"/>
  <c r="AJ72" i="14"/>
  <c r="AI72" i="14"/>
  <c r="AH72" i="14"/>
  <c r="AE72" i="14"/>
  <c r="AD72" i="14"/>
  <c r="AC72" i="14"/>
  <c r="AB72" i="14"/>
  <c r="AA72" i="14"/>
  <c r="Z72" i="14"/>
  <c r="Y72" i="14"/>
  <c r="X72" i="14"/>
  <c r="W72" i="14"/>
  <c r="V72" i="14"/>
  <c r="U72" i="14"/>
  <c r="R72" i="14"/>
  <c r="Q72" i="14"/>
  <c r="P72" i="14"/>
  <c r="O72" i="14"/>
  <c r="N72" i="14"/>
  <c r="M72" i="14"/>
  <c r="L72" i="14"/>
  <c r="K72" i="14"/>
  <c r="J72" i="14"/>
  <c r="I72" i="14"/>
  <c r="H72" i="14"/>
  <c r="AR71" i="14"/>
  <c r="AQ71" i="14"/>
  <c r="AP71" i="14"/>
  <c r="AO71" i="14"/>
  <c r="AN71" i="14"/>
  <c r="AM71" i="14"/>
  <c r="AL71" i="14"/>
  <c r="AK71" i="14"/>
  <c r="AJ71" i="14"/>
  <c r="AI71" i="14"/>
  <c r="AH71" i="14"/>
  <c r="AE71" i="14"/>
  <c r="AD71" i="14"/>
  <c r="AC71" i="14"/>
  <c r="AB71" i="14"/>
  <c r="AA71" i="14"/>
  <c r="Z71" i="14"/>
  <c r="Y71" i="14"/>
  <c r="X71" i="14"/>
  <c r="W71" i="14"/>
  <c r="V71" i="14"/>
  <c r="U71" i="14"/>
  <c r="R71" i="14"/>
  <c r="Q71" i="14"/>
  <c r="P71" i="14"/>
  <c r="O71" i="14"/>
  <c r="N71" i="14"/>
  <c r="M71" i="14"/>
  <c r="L71" i="14"/>
  <c r="K71" i="14"/>
  <c r="J71" i="14"/>
  <c r="I71" i="14"/>
  <c r="H71" i="14"/>
  <c r="AR70" i="14"/>
  <c r="AQ70" i="14"/>
  <c r="AP70" i="14"/>
  <c r="AO70" i="14"/>
  <c r="AN70" i="14"/>
  <c r="AM70" i="14"/>
  <c r="AL70" i="14"/>
  <c r="AK70" i="14"/>
  <c r="AJ70" i="14"/>
  <c r="AI70" i="14"/>
  <c r="AH70" i="14"/>
  <c r="AE70" i="14"/>
  <c r="AD70" i="14"/>
  <c r="AC70" i="14"/>
  <c r="AB70" i="14"/>
  <c r="AA70" i="14"/>
  <c r="Z70" i="14"/>
  <c r="Y70" i="14"/>
  <c r="X70" i="14"/>
  <c r="W70" i="14"/>
  <c r="V70" i="14"/>
  <c r="U70" i="14"/>
  <c r="R70" i="14"/>
  <c r="Q70" i="14"/>
  <c r="P70" i="14"/>
  <c r="O70" i="14"/>
  <c r="N70" i="14"/>
  <c r="M70" i="14"/>
  <c r="L70" i="14"/>
  <c r="K70" i="14"/>
  <c r="J70" i="14"/>
  <c r="I70" i="14"/>
  <c r="H70" i="14"/>
  <c r="AR69" i="14"/>
  <c r="AQ69" i="14"/>
  <c r="AP69" i="14"/>
  <c r="AO69" i="14"/>
  <c r="AN69" i="14"/>
  <c r="AM69" i="14"/>
  <c r="AL69" i="14"/>
  <c r="AK69" i="14"/>
  <c r="AJ69" i="14"/>
  <c r="AI69" i="14"/>
  <c r="AH69" i="14"/>
  <c r="AE69" i="14"/>
  <c r="AD69" i="14"/>
  <c r="AC69" i="14"/>
  <c r="AB69" i="14"/>
  <c r="AA69" i="14"/>
  <c r="Z69" i="14"/>
  <c r="Y69" i="14"/>
  <c r="X69" i="14"/>
  <c r="W69" i="14"/>
  <c r="V69" i="14"/>
  <c r="U69" i="14"/>
  <c r="R69" i="14"/>
  <c r="Q69" i="14"/>
  <c r="P69" i="14"/>
  <c r="O69" i="14"/>
  <c r="N69" i="14"/>
  <c r="M69" i="14"/>
  <c r="L69" i="14"/>
  <c r="K69" i="14"/>
  <c r="J69" i="14"/>
  <c r="I69" i="14"/>
  <c r="H69" i="14"/>
  <c r="AR68" i="14"/>
  <c r="AQ68" i="14"/>
  <c r="AP68" i="14"/>
  <c r="AO68" i="14"/>
  <c r="AN68" i="14"/>
  <c r="AM68" i="14"/>
  <c r="AL68" i="14"/>
  <c r="AK68" i="14"/>
  <c r="AJ68" i="14"/>
  <c r="AI68" i="14"/>
  <c r="AH68" i="14"/>
  <c r="AE68" i="14"/>
  <c r="AD68" i="14"/>
  <c r="AC68" i="14"/>
  <c r="AB68" i="14"/>
  <c r="AA68" i="14"/>
  <c r="Z68" i="14"/>
  <c r="Y68" i="14"/>
  <c r="X68" i="14"/>
  <c r="W68" i="14"/>
  <c r="V68" i="14"/>
  <c r="U68" i="14"/>
  <c r="R68" i="14"/>
  <c r="Q68" i="14"/>
  <c r="P68" i="14"/>
  <c r="O68" i="14"/>
  <c r="N68" i="14"/>
  <c r="M68" i="14"/>
  <c r="L68" i="14"/>
  <c r="K68" i="14"/>
  <c r="J68" i="14"/>
  <c r="I68" i="14"/>
  <c r="H68" i="14"/>
  <c r="AR67" i="14"/>
  <c r="AQ67" i="14"/>
  <c r="AP67" i="14"/>
  <c r="AO67" i="14"/>
  <c r="AN67" i="14"/>
  <c r="AM67" i="14"/>
  <c r="AL67" i="14"/>
  <c r="AK67" i="14"/>
  <c r="AJ67" i="14"/>
  <c r="AI67" i="14"/>
  <c r="AH67" i="14"/>
  <c r="AE67" i="14"/>
  <c r="AD67" i="14"/>
  <c r="AC67" i="14"/>
  <c r="AB67" i="14"/>
  <c r="AA67" i="14"/>
  <c r="Z67" i="14"/>
  <c r="Y67" i="14"/>
  <c r="X67" i="14"/>
  <c r="W67" i="14"/>
  <c r="V67" i="14"/>
  <c r="U67" i="14"/>
  <c r="R67" i="14"/>
  <c r="Q67" i="14"/>
  <c r="P67" i="14"/>
  <c r="O67" i="14"/>
  <c r="N67" i="14"/>
  <c r="M67" i="14"/>
  <c r="L67" i="14"/>
  <c r="K67" i="14"/>
  <c r="J67" i="14"/>
  <c r="I67" i="14"/>
  <c r="H67" i="14"/>
  <c r="AR66" i="14"/>
  <c r="AQ66" i="14"/>
  <c r="AP66" i="14"/>
  <c r="AO66" i="14"/>
  <c r="AN66" i="14"/>
  <c r="AM66" i="14"/>
  <c r="AL66" i="14"/>
  <c r="AK66" i="14"/>
  <c r="AJ66" i="14"/>
  <c r="AI66" i="14"/>
  <c r="AH66" i="14"/>
  <c r="AE66" i="14"/>
  <c r="AD66" i="14"/>
  <c r="AC66" i="14"/>
  <c r="AB66" i="14"/>
  <c r="AA66" i="14"/>
  <c r="Z66" i="14"/>
  <c r="Y66" i="14"/>
  <c r="X66" i="14"/>
  <c r="W66" i="14"/>
  <c r="V66" i="14"/>
  <c r="U66" i="14"/>
  <c r="R66" i="14"/>
  <c r="Q66" i="14"/>
  <c r="P66" i="14"/>
  <c r="O66" i="14"/>
  <c r="N66" i="14"/>
  <c r="M66" i="14"/>
  <c r="L66" i="14"/>
  <c r="K66" i="14"/>
  <c r="J66" i="14"/>
  <c r="I66" i="14"/>
  <c r="H66" i="14"/>
  <c r="AG62" i="14"/>
  <c r="T62" i="14"/>
  <c r="AR58" i="14"/>
  <c r="AQ58" i="14"/>
  <c r="AP58" i="14"/>
  <c r="AO58" i="14"/>
  <c r="AN58" i="14"/>
  <c r="AM58" i="14"/>
  <c r="AL58" i="14"/>
  <c r="AK58" i="14"/>
  <c r="AJ58" i="14"/>
  <c r="AI58" i="14"/>
  <c r="AH58" i="14"/>
  <c r="AE58" i="14"/>
  <c r="AD58" i="14"/>
  <c r="AC58" i="14"/>
  <c r="AB58" i="14"/>
  <c r="AA58" i="14"/>
  <c r="Z58" i="14"/>
  <c r="Y58" i="14"/>
  <c r="X58" i="14"/>
  <c r="W58" i="14"/>
  <c r="V58" i="14"/>
  <c r="U58" i="14"/>
  <c r="R58" i="14"/>
  <c r="Q58" i="14"/>
  <c r="P58" i="14"/>
  <c r="O58" i="14"/>
  <c r="N58" i="14"/>
  <c r="M58" i="14"/>
  <c r="L58" i="14"/>
  <c r="K58" i="14"/>
  <c r="J58" i="14"/>
  <c r="I58" i="14"/>
  <c r="H58" i="14"/>
  <c r="AR57" i="14"/>
  <c r="AQ57" i="14"/>
  <c r="AP57" i="14"/>
  <c r="AO57" i="14"/>
  <c r="AN57" i="14"/>
  <c r="AM57" i="14"/>
  <c r="AL57" i="14"/>
  <c r="AK57" i="14"/>
  <c r="AJ57" i="14"/>
  <c r="AI57" i="14"/>
  <c r="AH57" i="14"/>
  <c r="AE57" i="14"/>
  <c r="AD57" i="14"/>
  <c r="AC57" i="14"/>
  <c r="AB57" i="14"/>
  <c r="AA57" i="14"/>
  <c r="Z57" i="14"/>
  <c r="Y57" i="14"/>
  <c r="X57" i="14"/>
  <c r="W57" i="14"/>
  <c r="V57" i="14"/>
  <c r="U57" i="14"/>
  <c r="R57" i="14"/>
  <c r="Q57" i="14"/>
  <c r="P57" i="14"/>
  <c r="O57" i="14"/>
  <c r="N57" i="14"/>
  <c r="M57" i="14"/>
  <c r="L57" i="14"/>
  <c r="K57" i="14"/>
  <c r="J57" i="14"/>
  <c r="I57" i="14"/>
  <c r="H57" i="14"/>
  <c r="AR56" i="14"/>
  <c r="AQ56" i="14"/>
  <c r="AP56" i="14"/>
  <c r="AO56" i="14"/>
  <c r="AN56" i="14"/>
  <c r="AM56" i="14"/>
  <c r="AL56" i="14"/>
  <c r="AK56" i="14"/>
  <c r="AJ56" i="14"/>
  <c r="AI56" i="14"/>
  <c r="AH56" i="14"/>
  <c r="AE56" i="14"/>
  <c r="AD56" i="14"/>
  <c r="AC56" i="14"/>
  <c r="AB56" i="14"/>
  <c r="AA56" i="14"/>
  <c r="Z56" i="14"/>
  <c r="Y56" i="14"/>
  <c r="X56" i="14"/>
  <c r="W56" i="14"/>
  <c r="V56" i="14"/>
  <c r="U56" i="14"/>
  <c r="R56" i="14"/>
  <c r="Q56" i="14"/>
  <c r="P56" i="14"/>
  <c r="O56" i="14"/>
  <c r="N56" i="14"/>
  <c r="M56" i="14"/>
  <c r="L56" i="14"/>
  <c r="K56" i="14"/>
  <c r="J56" i="14"/>
  <c r="I56" i="14"/>
  <c r="H56" i="14"/>
  <c r="AR55" i="14"/>
  <c r="AQ55" i="14"/>
  <c r="AP55" i="14"/>
  <c r="AO55" i="14"/>
  <c r="AN55" i="14"/>
  <c r="AM55" i="14"/>
  <c r="AL55" i="14"/>
  <c r="AK55" i="14"/>
  <c r="AJ55" i="14"/>
  <c r="AI55" i="14"/>
  <c r="AH55" i="14"/>
  <c r="AE55" i="14"/>
  <c r="AD55" i="14"/>
  <c r="AC55" i="14"/>
  <c r="AB55" i="14"/>
  <c r="AA55" i="14"/>
  <c r="Z55" i="14"/>
  <c r="Y55" i="14"/>
  <c r="X55" i="14"/>
  <c r="W55" i="14"/>
  <c r="V55" i="14"/>
  <c r="U55" i="14"/>
  <c r="R55" i="14"/>
  <c r="Q55" i="14"/>
  <c r="P55" i="14"/>
  <c r="O55" i="14"/>
  <c r="N55" i="14"/>
  <c r="M55" i="14"/>
  <c r="L55" i="14"/>
  <c r="K55" i="14"/>
  <c r="J55" i="14"/>
  <c r="I55" i="14"/>
  <c r="H55" i="14"/>
  <c r="AR54" i="14"/>
  <c r="AQ54" i="14"/>
  <c r="AP54" i="14"/>
  <c r="AO54" i="14"/>
  <c r="AN54" i="14"/>
  <c r="AM54" i="14"/>
  <c r="AL54" i="14"/>
  <c r="AK54" i="14"/>
  <c r="AJ54" i="14"/>
  <c r="AI54" i="14"/>
  <c r="AH54" i="14"/>
  <c r="AE54" i="14"/>
  <c r="AD54" i="14"/>
  <c r="AC54" i="14"/>
  <c r="AB54" i="14"/>
  <c r="AA54" i="14"/>
  <c r="Z54" i="14"/>
  <c r="Y54" i="14"/>
  <c r="X54" i="14"/>
  <c r="W54" i="14"/>
  <c r="V54" i="14"/>
  <c r="U54" i="14"/>
  <c r="R54" i="14"/>
  <c r="Q54" i="14"/>
  <c r="P54" i="14"/>
  <c r="O54" i="14"/>
  <c r="N54" i="14"/>
  <c r="M54" i="14"/>
  <c r="L54" i="14"/>
  <c r="K54" i="14"/>
  <c r="J54" i="14"/>
  <c r="I54" i="14"/>
  <c r="H54" i="14"/>
  <c r="AR53" i="14"/>
  <c r="AQ53" i="14"/>
  <c r="AP53" i="14"/>
  <c r="AO53" i="14"/>
  <c r="AN53" i="14"/>
  <c r="AM53" i="14"/>
  <c r="AL53" i="14"/>
  <c r="AK53" i="14"/>
  <c r="AJ53" i="14"/>
  <c r="AI53" i="14"/>
  <c r="AH53" i="14"/>
  <c r="AE53" i="14"/>
  <c r="AD53" i="14"/>
  <c r="AC53" i="14"/>
  <c r="AB53" i="14"/>
  <c r="AA53" i="14"/>
  <c r="Z53" i="14"/>
  <c r="Y53" i="14"/>
  <c r="X53" i="14"/>
  <c r="W53" i="14"/>
  <c r="V53" i="14"/>
  <c r="U53" i="14"/>
  <c r="R53" i="14"/>
  <c r="Q53" i="14"/>
  <c r="P53" i="14"/>
  <c r="O53" i="14"/>
  <c r="N53" i="14"/>
  <c r="M53" i="14"/>
  <c r="L53" i="14"/>
  <c r="K53" i="14"/>
  <c r="J53" i="14"/>
  <c r="I53" i="14"/>
  <c r="H53" i="14"/>
  <c r="AR52" i="14"/>
  <c r="AQ52" i="14"/>
  <c r="AP52" i="14"/>
  <c r="AO52" i="14"/>
  <c r="AN52" i="14"/>
  <c r="AM52" i="14"/>
  <c r="AL52" i="14"/>
  <c r="AK52" i="14"/>
  <c r="AJ52" i="14"/>
  <c r="AI52" i="14"/>
  <c r="AH52" i="14"/>
  <c r="AE52" i="14"/>
  <c r="AD52" i="14"/>
  <c r="AC52" i="14"/>
  <c r="AB52" i="14"/>
  <c r="AA52" i="14"/>
  <c r="Z52" i="14"/>
  <c r="Y52" i="14"/>
  <c r="X52" i="14"/>
  <c r="W52" i="14"/>
  <c r="V52" i="14"/>
  <c r="U52" i="14"/>
  <c r="R52" i="14"/>
  <c r="Q52" i="14"/>
  <c r="P52" i="14"/>
  <c r="O52" i="14"/>
  <c r="N52" i="14"/>
  <c r="M52" i="14"/>
  <c r="L52" i="14"/>
  <c r="K52" i="14"/>
  <c r="J52" i="14"/>
  <c r="I52" i="14"/>
  <c r="H52" i="14"/>
  <c r="AR51" i="14"/>
  <c r="AQ51" i="14"/>
  <c r="AP51" i="14"/>
  <c r="AO51" i="14"/>
  <c r="AN51" i="14"/>
  <c r="AM51" i="14"/>
  <c r="AL51" i="14"/>
  <c r="AK51" i="14"/>
  <c r="AJ51" i="14"/>
  <c r="AI51" i="14"/>
  <c r="AH51" i="14"/>
  <c r="AE51" i="14"/>
  <c r="AD51" i="14"/>
  <c r="AC51" i="14"/>
  <c r="AB51" i="14"/>
  <c r="AA51" i="14"/>
  <c r="Z51" i="14"/>
  <c r="Y51" i="14"/>
  <c r="X51" i="14"/>
  <c r="W51" i="14"/>
  <c r="V51" i="14"/>
  <c r="U51" i="14"/>
  <c r="R51" i="14"/>
  <c r="Q51" i="14"/>
  <c r="P51" i="14"/>
  <c r="O51" i="14"/>
  <c r="N51" i="14"/>
  <c r="M51" i="14"/>
  <c r="L51" i="14"/>
  <c r="K51" i="14"/>
  <c r="J51" i="14"/>
  <c r="I51" i="14"/>
  <c r="H51" i="14"/>
  <c r="AR50" i="14"/>
  <c r="AQ50" i="14"/>
  <c r="AP50" i="14"/>
  <c r="AO50" i="14"/>
  <c r="AN50" i="14"/>
  <c r="AM50" i="14"/>
  <c r="AL50" i="14"/>
  <c r="AK50" i="14"/>
  <c r="AJ50" i="14"/>
  <c r="AI50" i="14"/>
  <c r="AH50" i="14"/>
  <c r="AE50" i="14"/>
  <c r="AD50" i="14"/>
  <c r="AC50" i="14"/>
  <c r="AB50" i="14"/>
  <c r="AA50" i="14"/>
  <c r="Z50" i="14"/>
  <c r="Y50" i="14"/>
  <c r="X50" i="14"/>
  <c r="W50" i="14"/>
  <c r="V50" i="14"/>
  <c r="U50" i="14"/>
  <c r="R50" i="14"/>
  <c r="Q50" i="14"/>
  <c r="P50" i="14"/>
  <c r="O50" i="14"/>
  <c r="N50" i="14"/>
  <c r="M50" i="14"/>
  <c r="L50" i="14"/>
  <c r="K50" i="14"/>
  <c r="J50" i="14"/>
  <c r="I50" i="14"/>
  <c r="H50" i="14"/>
  <c r="AR49" i="14"/>
  <c r="AQ49" i="14"/>
  <c r="AP49" i="14"/>
  <c r="AO49" i="14"/>
  <c r="AN49" i="14"/>
  <c r="AM49" i="14"/>
  <c r="AL49" i="14"/>
  <c r="AK49" i="14"/>
  <c r="AJ49" i="14"/>
  <c r="AI49" i="14"/>
  <c r="AH49" i="14"/>
  <c r="AE49" i="14"/>
  <c r="AD49" i="14"/>
  <c r="AC49" i="14"/>
  <c r="AB49" i="14"/>
  <c r="AA49" i="14"/>
  <c r="Z49" i="14"/>
  <c r="Y49" i="14"/>
  <c r="X49" i="14"/>
  <c r="W49" i="14"/>
  <c r="V49" i="14"/>
  <c r="U49" i="14"/>
  <c r="R49" i="14"/>
  <c r="Q49" i="14"/>
  <c r="P49" i="14"/>
  <c r="O49" i="14"/>
  <c r="N49" i="14"/>
  <c r="M49" i="14"/>
  <c r="L49" i="14"/>
  <c r="K49" i="14"/>
  <c r="J49" i="14"/>
  <c r="I49" i="14"/>
  <c r="H49" i="14"/>
  <c r="AR48" i="14"/>
  <c r="AQ48" i="14"/>
  <c r="AP48" i="14"/>
  <c r="AO48" i="14"/>
  <c r="AN48" i="14"/>
  <c r="AM48" i="14"/>
  <c r="AL48" i="14"/>
  <c r="AK48" i="14"/>
  <c r="AJ48" i="14"/>
  <c r="AI48" i="14"/>
  <c r="AH48" i="14"/>
  <c r="AE48" i="14"/>
  <c r="AD48" i="14"/>
  <c r="AC48" i="14"/>
  <c r="AB48" i="14"/>
  <c r="AA48" i="14"/>
  <c r="Z48" i="14"/>
  <c r="Y48" i="14"/>
  <c r="X48" i="14"/>
  <c r="W48" i="14"/>
  <c r="V48" i="14"/>
  <c r="U48" i="14"/>
  <c r="R48" i="14"/>
  <c r="Q48" i="14"/>
  <c r="P48" i="14"/>
  <c r="O48" i="14"/>
  <c r="N48" i="14"/>
  <c r="M48" i="14"/>
  <c r="L48" i="14"/>
  <c r="K48" i="14"/>
  <c r="J48" i="14"/>
  <c r="I48" i="14"/>
  <c r="H48" i="14"/>
  <c r="AR47" i="14"/>
  <c r="AQ47" i="14"/>
  <c r="AP47" i="14"/>
  <c r="AO47" i="14"/>
  <c r="AN47" i="14"/>
  <c r="AM47" i="14"/>
  <c r="AL47" i="14"/>
  <c r="AK47" i="14"/>
  <c r="AJ47" i="14"/>
  <c r="AI47" i="14"/>
  <c r="AH47" i="14"/>
  <c r="AE47" i="14"/>
  <c r="AD47" i="14"/>
  <c r="AC47" i="14"/>
  <c r="AB47" i="14"/>
  <c r="AA47" i="14"/>
  <c r="Z47" i="14"/>
  <c r="Y47" i="14"/>
  <c r="X47" i="14"/>
  <c r="W47" i="14"/>
  <c r="V47" i="14"/>
  <c r="U47" i="14"/>
  <c r="R47" i="14"/>
  <c r="Q47" i="14"/>
  <c r="P47" i="14"/>
  <c r="O47" i="14"/>
  <c r="N47" i="14"/>
  <c r="M47" i="14"/>
  <c r="L47" i="14"/>
  <c r="K47" i="14"/>
  <c r="J47" i="14"/>
  <c r="I47" i="14"/>
  <c r="H47" i="14"/>
  <c r="AR46" i="14"/>
  <c r="AQ46" i="14"/>
  <c r="AP46" i="14"/>
  <c r="AO46" i="14"/>
  <c r="AN46" i="14"/>
  <c r="AM46" i="14"/>
  <c r="AL46" i="14"/>
  <c r="AK46" i="14"/>
  <c r="AJ46" i="14"/>
  <c r="AI46" i="14"/>
  <c r="AH46" i="14"/>
  <c r="AE46" i="14"/>
  <c r="AD46" i="14"/>
  <c r="AC46" i="14"/>
  <c r="AB46" i="14"/>
  <c r="AA46" i="14"/>
  <c r="Z46" i="14"/>
  <c r="Y46" i="14"/>
  <c r="X46" i="14"/>
  <c r="W46" i="14"/>
  <c r="V46" i="14"/>
  <c r="U46" i="14"/>
  <c r="R46" i="14"/>
  <c r="Q46" i="14"/>
  <c r="P46" i="14"/>
  <c r="O46" i="14"/>
  <c r="N46" i="14"/>
  <c r="M46" i="14"/>
  <c r="L46" i="14"/>
  <c r="K46" i="14"/>
  <c r="J46" i="14"/>
  <c r="I46" i="14"/>
  <c r="H46" i="14"/>
  <c r="AR45" i="14"/>
  <c r="AQ45" i="14"/>
  <c r="AP45" i="14"/>
  <c r="AO45" i="14"/>
  <c r="AN45" i="14"/>
  <c r="AM45" i="14"/>
  <c r="AL45" i="14"/>
  <c r="AK45" i="14"/>
  <c r="AJ45" i="14"/>
  <c r="AI45" i="14"/>
  <c r="AH45" i="14"/>
  <c r="AE45" i="14"/>
  <c r="AD45" i="14"/>
  <c r="AC45" i="14"/>
  <c r="AB45" i="14"/>
  <c r="AA45" i="14"/>
  <c r="Z45" i="14"/>
  <c r="Y45" i="14"/>
  <c r="X45" i="14"/>
  <c r="W45" i="14"/>
  <c r="V45" i="14"/>
  <c r="U45" i="14"/>
  <c r="R45" i="14"/>
  <c r="Q45" i="14"/>
  <c r="P45" i="14"/>
  <c r="O45" i="14"/>
  <c r="N45" i="14"/>
  <c r="M45" i="14"/>
  <c r="L45" i="14"/>
  <c r="K45" i="14"/>
  <c r="J45" i="14"/>
  <c r="I45" i="14"/>
  <c r="H45" i="14"/>
  <c r="AR44" i="14"/>
  <c r="AQ44" i="14"/>
  <c r="AP44" i="14"/>
  <c r="AO44" i="14"/>
  <c r="AN44" i="14"/>
  <c r="AM44" i="14"/>
  <c r="AL44" i="14"/>
  <c r="AK44" i="14"/>
  <c r="AJ44" i="14"/>
  <c r="AI44" i="14"/>
  <c r="AH44" i="14"/>
  <c r="AE44" i="14"/>
  <c r="AD44" i="14"/>
  <c r="AC44" i="14"/>
  <c r="AB44" i="14"/>
  <c r="AA44" i="14"/>
  <c r="Z44" i="14"/>
  <c r="Y44" i="14"/>
  <c r="X44" i="14"/>
  <c r="W44" i="14"/>
  <c r="V44" i="14"/>
  <c r="U44" i="14"/>
  <c r="R44" i="14"/>
  <c r="Q44" i="14"/>
  <c r="P44" i="14"/>
  <c r="O44" i="14"/>
  <c r="N44" i="14"/>
  <c r="M44" i="14"/>
  <c r="L44" i="14"/>
  <c r="K44" i="14"/>
  <c r="J44" i="14"/>
  <c r="I44" i="14"/>
  <c r="H44" i="14"/>
  <c r="AR43" i="14"/>
  <c r="AQ43" i="14"/>
  <c r="AP43" i="14"/>
  <c r="AO43" i="14"/>
  <c r="AN43" i="14"/>
  <c r="AM43" i="14"/>
  <c r="AL43" i="14"/>
  <c r="AK43" i="14"/>
  <c r="AJ43" i="14"/>
  <c r="AI43" i="14"/>
  <c r="AH43" i="14"/>
  <c r="AE43" i="14"/>
  <c r="AD43" i="14"/>
  <c r="AC43" i="14"/>
  <c r="AB43" i="14"/>
  <c r="AA43" i="14"/>
  <c r="Z43" i="14"/>
  <c r="Y43" i="14"/>
  <c r="X43" i="14"/>
  <c r="W43" i="14"/>
  <c r="V43" i="14"/>
  <c r="U43" i="14"/>
  <c r="R43" i="14"/>
  <c r="Q43" i="14"/>
  <c r="P43" i="14"/>
  <c r="O43" i="14"/>
  <c r="N43" i="14"/>
  <c r="M43" i="14"/>
  <c r="L43" i="14"/>
  <c r="K43" i="14"/>
  <c r="J43" i="14"/>
  <c r="I43" i="14"/>
  <c r="H43" i="14"/>
  <c r="AR42" i="14"/>
  <c r="AQ42" i="14"/>
  <c r="AP42" i="14"/>
  <c r="AO42" i="14"/>
  <c r="AN42" i="14"/>
  <c r="AM42" i="14"/>
  <c r="AL42" i="14"/>
  <c r="AK42" i="14"/>
  <c r="AJ42" i="14"/>
  <c r="AI42" i="14"/>
  <c r="AH42" i="14"/>
  <c r="AE42" i="14"/>
  <c r="AD42" i="14"/>
  <c r="AC42" i="14"/>
  <c r="AB42" i="14"/>
  <c r="AA42" i="14"/>
  <c r="Z42" i="14"/>
  <c r="Y42" i="14"/>
  <c r="X42" i="14"/>
  <c r="W42" i="14"/>
  <c r="V42" i="14"/>
  <c r="U42" i="14"/>
  <c r="R42" i="14"/>
  <c r="Q42" i="14"/>
  <c r="P42" i="14"/>
  <c r="O42" i="14"/>
  <c r="N42" i="14"/>
  <c r="M42" i="14"/>
  <c r="L42" i="14"/>
  <c r="K42" i="14"/>
  <c r="J42" i="14"/>
  <c r="I42" i="14"/>
  <c r="H42" i="14"/>
  <c r="AR41" i="14"/>
  <c r="AQ41" i="14"/>
  <c r="AP41" i="14"/>
  <c r="AO41" i="14"/>
  <c r="AN41" i="14"/>
  <c r="AM41" i="14"/>
  <c r="AL41" i="14"/>
  <c r="AK41" i="14"/>
  <c r="AJ41" i="14"/>
  <c r="AI41" i="14"/>
  <c r="AH41" i="14"/>
  <c r="AE41" i="14"/>
  <c r="AD41" i="14"/>
  <c r="AC41" i="14"/>
  <c r="AB41" i="14"/>
  <c r="AA41" i="14"/>
  <c r="Z41" i="14"/>
  <c r="Y41" i="14"/>
  <c r="X41" i="14"/>
  <c r="W41" i="14"/>
  <c r="V41" i="14"/>
  <c r="U41" i="14"/>
  <c r="R41" i="14"/>
  <c r="Q41" i="14"/>
  <c r="P41" i="14"/>
  <c r="O41" i="14"/>
  <c r="N41" i="14"/>
  <c r="M41" i="14"/>
  <c r="L41" i="14"/>
  <c r="K41" i="14"/>
  <c r="J41" i="14"/>
  <c r="I41" i="14"/>
  <c r="H41" i="14"/>
  <c r="AR40" i="14"/>
  <c r="AQ40" i="14"/>
  <c r="AP40" i="14"/>
  <c r="AO40" i="14"/>
  <c r="AN40" i="14"/>
  <c r="AM40" i="14"/>
  <c r="AL40" i="14"/>
  <c r="AK40" i="14"/>
  <c r="AJ40" i="14"/>
  <c r="AI40" i="14"/>
  <c r="AH40" i="14"/>
  <c r="AE40" i="14"/>
  <c r="AD40" i="14"/>
  <c r="AC40" i="14"/>
  <c r="AB40" i="14"/>
  <c r="AA40" i="14"/>
  <c r="Z40" i="14"/>
  <c r="Y40" i="14"/>
  <c r="X40" i="14"/>
  <c r="W40" i="14"/>
  <c r="V40" i="14"/>
  <c r="U40" i="14"/>
  <c r="R40" i="14"/>
  <c r="Q40" i="14"/>
  <c r="P40" i="14"/>
  <c r="O40" i="14"/>
  <c r="N40" i="14"/>
  <c r="M40" i="14"/>
  <c r="L40" i="14"/>
  <c r="K40" i="14"/>
  <c r="J40" i="14"/>
  <c r="I40" i="14"/>
  <c r="H40" i="14"/>
  <c r="AR39" i="14"/>
  <c r="AQ39" i="14"/>
  <c r="AP39" i="14"/>
  <c r="AO39" i="14"/>
  <c r="AN39" i="14"/>
  <c r="AM39" i="14"/>
  <c r="AL39" i="14"/>
  <c r="AK39" i="14"/>
  <c r="AJ39" i="14"/>
  <c r="AI39" i="14"/>
  <c r="AH39" i="14"/>
  <c r="AE39" i="14"/>
  <c r="AD39" i="14"/>
  <c r="AC39" i="14"/>
  <c r="AB39" i="14"/>
  <c r="AA39" i="14"/>
  <c r="Z39" i="14"/>
  <c r="Y39" i="14"/>
  <c r="X39" i="14"/>
  <c r="W39" i="14"/>
  <c r="V39" i="14"/>
  <c r="U39" i="14"/>
  <c r="R39" i="14"/>
  <c r="Q39" i="14"/>
  <c r="P39" i="14"/>
  <c r="O39" i="14"/>
  <c r="N39" i="14"/>
  <c r="M39" i="14"/>
  <c r="L39" i="14"/>
  <c r="K39" i="14"/>
  <c r="J39" i="14"/>
  <c r="I39" i="14"/>
  <c r="H39" i="14"/>
  <c r="AR38" i="14"/>
  <c r="AQ38" i="14"/>
  <c r="AP38" i="14"/>
  <c r="AO38" i="14"/>
  <c r="AN38" i="14"/>
  <c r="AM38" i="14"/>
  <c r="AL38" i="14"/>
  <c r="AK38" i="14"/>
  <c r="AJ38" i="14"/>
  <c r="AI38" i="14"/>
  <c r="AH38" i="14"/>
  <c r="AE38" i="14"/>
  <c r="AD38" i="14"/>
  <c r="AC38" i="14"/>
  <c r="AB38" i="14"/>
  <c r="AA38" i="14"/>
  <c r="Z38" i="14"/>
  <c r="Y38" i="14"/>
  <c r="X38" i="14"/>
  <c r="W38" i="14"/>
  <c r="V38" i="14"/>
  <c r="U38" i="14"/>
  <c r="R38" i="14"/>
  <c r="Q38" i="14"/>
  <c r="P38" i="14"/>
  <c r="O38" i="14"/>
  <c r="N38" i="14"/>
  <c r="M38" i="14"/>
  <c r="L38" i="14"/>
  <c r="K38" i="14"/>
  <c r="J38" i="14"/>
  <c r="I38" i="14"/>
  <c r="H38" i="14"/>
  <c r="AG34" i="14"/>
  <c r="T34" i="14"/>
  <c r="BF27" i="14"/>
  <c r="BE27" i="14"/>
  <c r="BD27" i="14"/>
  <c r="BC27" i="14"/>
  <c r="BB27" i="14"/>
  <c r="BA27" i="14"/>
  <c r="AZ27" i="14"/>
  <c r="AY27" i="14"/>
  <c r="AX27" i="14"/>
  <c r="AW27" i="14"/>
  <c r="AV27" i="14"/>
  <c r="BF26" i="14"/>
  <c r="BE26" i="14"/>
  <c r="BD26" i="14"/>
  <c r="BC26" i="14"/>
  <c r="BB26" i="14"/>
  <c r="BA26" i="14"/>
  <c r="AZ26" i="14"/>
  <c r="AY26" i="14"/>
  <c r="AX26" i="14"/>
  <c r="AW26" i="14"/>
  <c r="AV26" i="14"/>
  <c r="BF25" i="14"/>
  <c r="BE25" i="14"/>
  <c r="BD25" i="14"/>
  <c r="BC25" i="14"/>
  <c r="BB25" i="14"/>
  <c r="BA25" i="14"/>
  <c r="AZ25" i="14"/>
  <c r="AY25" i="14"/>
  <c r="AX25" i="14"/>
  <c r="AW25" i="14"/>
  <c r="AV25" i="14"/>
  <c r="BF24" i="14"/>
  <c r="BE24" i="14"/>
  <c r="BD24" i="14"/>
  <c r="BC24" i="14"/>
  <c r="BB24" i="14"/>
  <c r="BA24" i="14"/>
  <c r="AZ24" i="14"/>
  <c r="AY24" i="14"/>
  <c r="AX24" i="14"/>
  <c r="AW24" i="14"/>
  <c r="AV24" i="14"/>
  <c r="BF23" i="14"/>
  <c r="BE23" i="14"/>
  <c r="BD23" i="14"/>
  <c r="BC23" i="14"/>
  <c r="BB23" i="14"/>
  <c r="BA23" i="14"/>
  <c r="AZ23" i="14"/>
  <c r="AY23" i="14"/>
  <c r="AX23" i="14"/>
  <c r="AW23" i="14"/>
  <c r="AV23" i="14"/>
  <c r="BF22" i="14"/>
  <c r="BE22" i="14"/>
  <c r="BD22" i="14"/>
  <c r="BC22" i="14"/>
  <c r="BB22" i="14"/>
  <c r="BA22" i="14"/>
  <c r="AZ22" i="14"/>
  <c r="AY22" i="14"/>
  <c r="AX22" i="14"/>
  <c r="AW22" i="14"/>
  <c r="AV22" i="14"/>
  <c r="BF21" i="14"/>
  <c r="BE21" i="14"/>
  <c r="BD21" i="14"/>
  <c r="BC21" i="14"/>
  <c r="BB21" i="14"/>
  <c r="BA21" i="14"/>
  <c r="AZ21" i="14"/>
  <c r="AY21" i="14"/>
  <c r="AX21" i="14"/>
  <c r="AW21" i="14"/>
  <c r="AV21" i="14"/>
  <c r="BF20" i="14"/>
  <c r="BE20" i="14"/>
  <c r="BD20" i="14"/>
  <c r="BC20" i="14"/>
  <c r="BB20" i="14"/>
  <c r="BA20" i="14"/>
  <c r="AZ20" i="14"/>
  <c r="AY20" i="14"/>
  <c r="AX20" i="14"/>
  <c r="AW20" i="14"/>
  <c r="AV20" i="14"/>
  <c r="BF19" i="14"/>
  <c r="BE19" i="14"/>
  <c r="BD19" i="14"/>
  <c r="BC19" i="14"/>
  <c r="BB19" i="14"/>
  <c r="BA19" i="14"/>
  <c r="AZ19" i="14"/>
  <c r="AY19" i="14"/>
  <c r="AX19" i="14"/>
  <c r="AW19" i="14"/>
  <c r="AV19" i="14"/>
  <c r="BF18" i="14"/>
  <c r="BE18" i="14"/>
  <c r="BD18" i="14"/>
  <c r="BC18" i="14"/>
  <c r="BB18" i="14"/>
  <c r="BA18" i="14"/>
  <c r="AZ18" i="14"/>
  <c r="AY18" i="14"/>
  <c r="AX18" i="14"/>
  <c r="AW18" i="14"/>
  <c r="AV18" i="14"/>
  <c r="BF17" i="14"/>
  <c r="BE17" i="14"/>
  <c r="BD17" i="14"/>
  <c r="BC17" i="14"/>
  <c r="BB17" i="14"/>
  <c r="BA17" i="14"/>
  <c r="AZ17" i="14"/>
  <c r="AY17" i="14"/>
  <c r="AX17" i="14"/>
  <c r="AW17" i="14"/>
  <c r="AV17" i="14"/>
  <c r="BF16" i="14"/>
  <c r="BE16" i="14"/>
  <c r="BD16" i="14"/>
  <c r="BC16" i="14"/>
  <c r="BB16" i="14"/>
  <c r="BA16" i="14"/>
  <c r="AZ16" i="14"/>
  <c r="AY16" i="14"/>
  <c r="AX16" i="14"/>
  <c r="AW16" i="14"/>
  <c r="AV16" i="14"/>
  <c r="BF15" i="14"/>
  <c r="BE15" i="14"/>
  <c r="BD15" i="14"/>
  <c r="BC15" i="14"/>
  <c r="BB15" i="14"/>
  <c r="BA15" i="14"/>
  <c r="AZ15" i="14"/>
  <c r="AY15" i="14"/>
  <c r="AX15" i="14"/>
  <c r="AW15" i="14"/>
  <c r="AV15" i="14"/>
  <c r="BF14" i="14"/>
  <c r="BE14" i="14"/>
  <c r="BD14" i="14"/>
  <c r="BC14" i="14"/>
  <c r="BB14" i="14"/>
  <c r="BA14" i="14"/>
  <c r="AZ14" i="14"/>
  <c r="AY14" i="14"/>
  <c r="AX14" i="14"/>
  <c r="AW14" i="14"/>
  <c r="AV14" i="14"/>
  <c r="BF13" i="14"/>
  <c r="BE13" i="14"/>
  <c r="BD13" i="14"/>
  <c r="BC13" i="14"/>
  <c r="BB13" i="14"/>
  <c r="BA13" i="14"/>
  <c r="AZ13" i="14"/>
  <c r="AY13" i="14"/>
  <c r="AX13" i="14"/>
  <c r="AW13" i="14"/>
  <c r="AV13" i="14"/>
  <c r="BF12" i="14"/>
  <c r="BE12" i="14"/>
  <c r="BD12" i="14"/>
  <c r="BC12" i="14"/>
  <c r="BB12" i="14"/>
  <c r="BA12" i="14"/>
  <c r="AZ12" i="14"/>
  <c r="AY12" i="14"/>
  <c r="AX12" i="14"/>
  <c r="AW12" i="14"/>
  <c r="AV12" i="14"/>
  <c r="BF11" i="14"/>
  <c r="BE11" i="14"/>
  <c r="BD11" i="14"/>
  <c r="BC11" i="14"/>
  <c r="BB11" i="14"/>
  <c r="BA11" i="14"/>
  <c r="AZ11" i="14"/>
  <c r="AY11" i="14"/>
  <c r="AX11" i="14"/>
  <c r="AW11" i="14"/>
  <c r="AV11" i="14"/>
  <c r="BF10" i="14"/>
  <c r="BE10" i="14"/>
  <c r="BD10" i="14"/>
  <c r="BC10" i="14"/>
  <c r="BB10" i="14"/>
  <c r="BA10" i="14"/>
  <c r="AZ10" i="14"/>
  <c r="AY10" i="14"/>
  <c r="AX10" i="14"/>
  <c r="AW10" i="14"/>
  <c r="AV10" i="14"/>
  <c r="BF9" i="14"/>
  <c r="BE9" i="14"/>
  <c r="BD9" i="14"/>
  <c r="BC9" i="14"/>
  <c r="BB9" i="14"/>
  <c r="BA9" i="14"/>
  <c r="AZ9" i="14"/>
  <c r="AY9" i="14"/>
  <c r="AX9" i="14"/>
  <c r="AW9" i="14"/>
  <c r="AV9" i="14"/>
  <c r="BF8" i="14"/>
  <c r="BE8" i="14"/>
  <c r="BD8" i="14"/>
  <c r="BC8" i="14"/>
  <c r="BB8" i="14"/>
  <c r="BA8" i="14"/>
  <c r="AZ8" i="14"/>
  <c r="AY8" i="14"/>
  <c r="AX8" i="14"/>
  <c r="AW8" i="14"/>
  <c r="AV8" i="14"/>
  <c r="BF7" i="14"/>
  <c r="BE7" i="14"/>
  <c r="BD7" i="14"/>
  <c r="BC7" i="14"/>
  <c r="BB7" i="14"/>
  <c r="BA7" i="14"/>
  <c r="AZ7" i="14"/>
  <c r="AY7" i="14"/>
  <c r="AX7" i="14"/>
  <c r="AW7" i="14"/>
  <c r="AV7" i="14"/>
  <c r="E31" i="3"/>
  <c r="E32" i="3"/>
  <c r="F32" i="3" s="1"/>
  <c r="H32" i="3" s="1"/>
  <c r="F31" i="3"/>
  <c r="H31" i="3" s="1"/>
  <c r="H33" i="3" s="1"/>
  <c r="F33" i="3"/>
  <c r="J39" i="12"/>
  <c r="N24" i="12"/>
  <c r="F24" i="12"/>
  <c r="N29" i="12"/>
  <c r="P29" i="12"/>
  <c r="N27" i="12"/>
  <c r="F27" i="12"/>
  <c r="F29" i="12"/>
  <c r="E27" i="2"/>
  <c r="F27" i="2"/>
  <c r="H18" i="12"/>
  <c r="N18" i="12"/>
  <c r="C10" i="4"/>
  <c r="E10" i="4"/>
  <c r="G10" i="4"/>
  <c r="D5" i="1"/>
  <c r="B22" i="8"/>
  <c r="E49" i="12"/>
  <c r="E48" i="12"/>
  <c r="B39" i="12"/>
  <c r="N37" i="12"/>
  <c r="P37" i="12" s="1"/>
  <c r="F37" i="12"/>
  <c r="H37" i="12"/>
  <c r="N36" i="12"/>
  <c r="P36" i="12"/>
  <c r="E36" i="12"/>
  <c r="F36" i="12"/>
  <c r="H36" i="12" s="1"/>
  <c r="F38" i="12"/>
  <c r="N35" i="12"/>
  <c r="F35" i="12"/>
  <c r="H35" i="12" s="1"/>
  <c r="N32" i="12"/>
  <c r="F32" i="12"/>
  <c r="F33" i="12" s="1"/>
  <c r="H29" i="12"/>
  <c r="N28" i="12"/>
  <c r="P28" i="12" s="1"/>
  <c r="F28" i="12"/>
  <c r="H28" i="12"/>
  <c r="E26" i="12"/>
  <c r="F26" i="12" s="1"/>
  <c r="J21" i="12"/>
  <c r="B21" i="12"/>
  <c r="P18" i="12"/>
  <c r="M26" i="12"/>
  <c r="N26" i="12"/>
  <c r="N30" i="12" s="1"/>
  <c r="P26" i="12"/>
  <c r="J34" i="2"/>
  <c r="C22" i="2"/>
  <c r="M15" i="2"/>
  <c r="N15" i="2" s="1"/>
  <c r="P15" i="2" s="1"/>
  <c r="M20" i="2"/>
  <c r="N20" i="2" s="1"/>
  <c r="P20" i="2" s="1"/>
  <c r="M19" i="2"/>
  <c r="N19" i="2"/>
  <c r="P19" i="2" s="1"/>
  <c r="M16" i="2"/>
  <c r="N16" i="2"/>
  <c r="P16" i="2"/>
  <c r="F24" i="2"/>
  <c r="H24" i="2" s="1"/>
  <c r="N24" i="2"/>
  <c r="P24" i="2" s="1"/>
  <c r="N21" i="2"/>
  <c r="P21" i="2" s="1"/>
  <c r="N22" i="2"/>
  <c r="P22" i="2"/>
  <c r="N23" i="2"/>
  <c r="P23" i="2" s="1"/>
  <c r="N17" i="2"/>
  <c r="P17" i="2" s="1"/>
  <c r="N18" i="2"/>
  <c r="P18" i="2" s="1"/>
  <c r="J10" i="2"/>
  <c r="N32" i="2"/>
  <c r="P32" i="2"/>
  <c r="N31" i="2"/>
  <c r="P31" i="2" s="1"/>
  <c r="N33" i="2"/>
  <c r="N28" i="2"/>
  <c r="P28" i="2"/>
  <c r="N27" i="2"/>
  <c r="N29" i="2" s="1"/>
  <c r="N13" i="2"/>
  <c r="F33" i="2"/>
  <c r="H33" i="2" s="1"/>
  <c r="F20" i="2"/>
  <c r="H20" i="2" s="1"/>
  <c r="F21" i="2"/>
  <c r="H21" i="2" s="1"/>
  <c r="D28" i="3"/>
  <c r="F28" i="3" s="1"/>
  <c r="H28" i="3" s="1"/>
  <c r="D27" i="3"/>
  <c r="F27" i="3" s="1"/>
  <c r="H27" i="3" s="1"/>
  <c r="D26" i="3"/>
  <c r="F26" i="3"/>
  <c r="H26" i="3" s="1"/>
  <c r="H29" i="3" s="1"/>
  <c r="E84" i="8"/>
  <c r="F84" i="8"/>
  <c r="H84" i="8"/>
  <c r="H85" i="8"/>
  <c r="E78" i="8"/>
  <c r="F78" i="8"/>
  <c r="H78" i="8"/>
  <c r="E20" i="8"/>
  <c r="F20" i="8" s="1"/>
  <c r="E14" i="8"/>
  <c r="E76" i="8"/>
  <c r="F76" i="8" s="1"/>
  <c r="H76" i="8" s="1"/>
  <c r="E12" i="8"/>
  <c r="F12" i="8" s="1"/>
  <c r="H12" i="8" s="1"/>
  <c r="B86" i="8"/>
  <c r="B9" i="3"/>
  <c r="B10" i="2"/>
  <c r="E81" i="8"/>
  <c r="F81" i="8"/>
  <c r="H81" i="8"/>
  <c r="E80" i="8"/>
  <c r="F80" i="8"/>
  <c r="H80" i="8"/>
  <c r="E79" i="8"/>
  <c r="F79" i="8"/>
  <c r="H79" i="8"/>
  <c r="E77" i="8"/>
  <c r="F77" i="8"/>
  <c r="H77" i="8"/>
  <c r="E75" i="8"/>
  <c r="F75" i="8"/>
  <c r="H75" i="8" s="1"/>
  <c r="E74" i="8"/>
  <c r="D74" i="8"/>
  <c r="F74" i="8" s="1"/>
  <c r="D10" i="8"/>
  <c r="C5" i="1"/>
  <c r="C6" i="1" s="1" a="1"/>
  <c r="C6" i="1" s="1"/>
  <c r="F14" i="8"/>
  <c r="H14" i="8"/>
  <c r="E15" i="8"/>
  <c r="F15" i="8"/>
  <c r="H15" i="8"/>
  <c r="E16" i="8"/>
  <c r="F16" i="8"/>
  <c r="H16" i="8" s="1"/>
  <c r="E17" i="8"/>
  <c r="F17" i="8"/>
  <c r="H17" i="8" s="1"/>
  <c r="B34" i="3"/>
  <c r="F23" i="3"/>
  <c r="H23" i="3" s="1"/>
  <c r="F16" i="3"/>
  <c r="F17" i="3"/>
  <c r="H17" i="3" s="1"/>
  <c r="F18" i="3"/>
  <c r="H18" i="3" s="1"/>
  <c r="F19" i="3"/>
  <c r="H19" i="3"/>
  <c r="F20" i="3"/>
  <c r="F21" i="3"/>
  <c r="H21" i="3"/>
  <c r="F22" i="3"/>
  <c r="H22" i="3"/>
  <c r="F15" i="3"/>
  <c r="F14" i="3"/>
  <c r="F12" i="3"/>
  <c r="F23" i="2"/>
  <c r="H23" i="2" s="1"/>
  <c r="F32" i="2"/>
  <c r="H32" i="2" s="1"/>
  <c r="F31" i="2"/>
  <c r="F34" i="2"/>
  <c r="H31" i="2"/>
  <c r="H34" i="2"/>
  <c r="F28" i="2"/>
  <c r="H28" i="2" s="1"/>
  <c r="F16" i="2"/>
  <c r="H16" i="2" s="1"/>
  <c r="F17" i="2"/>
  <c r="H17" i="2"/>
  <c r="F19" i="2"/>
  <c r="H19" i="2"/>
  <c r="F15" i="2"/>
  <c r="E18" i="2"/>
  <c r="F18" i="2"/>
  <c r="H18" i="2" s="1"/>
  <c r="E13" i="8"/>
  <c r="F13" i="8" s="1"/>
  <c r="H13" i="8" s="1"/>
  <c r="E11" i="8"/>
  <c r="F11" i="8"/>
  <c r="E10" i="8"/>
  <c r="F10" i="8" s="1"/>
  <c r="F29" i="1"/>
  <c r="H29" i="1"/>
  <c r="F28" i="1"/>
  <c r="H28" i="1" s="1"/>
  <c r="E21" i="1"/>
  <c r="F21" i="1" s="1"/>
  <c r="D6" i="1"/>
  <c r="H11" i="8"/>
  <c r="E53" i="3"/>
  <c r="E59" i="3"/>
  <c r="F23" i="1"/>
  <c r="H23" i="1" s="1"/>
  <c r="E48" i="3"/>
  <c r="E49" i="3"/>
  <c r="E51" i="3"/>
  <c r="E52" i="3"/>
  <c r="E54" i="3"/>
  <c r="E55" i="3"/>
  <c r="E56" i="3"/>
  <c r="E57" i="3"/>
  <c r="E58" i="3"/>
  <c r="E60" i="3"/>
  <c r="E61" i="3"/>
  <c r="H16" i="3"/>
  <c r="H20" i="3"/>
  <c r="H15" i="3"/>
  <c r="H27" i="12"/>
  <c r="P27" i="12"/>
  <c r="P32" i="12"/>
  <c r="P33" i="12" s="1"/>
  <c r="N33" i="12"/>
  <c r="N25" i="2"/>
  <c r="P33" i="2"/>
  <c r="F29" i="3"/>
  <c r="P51" i="16" l="1"/>
  <c r="P49" i="16"/>
  <c r="P47" i="16"/>
  <c r="P45" i="16"/>
  <c r="P43" i="16"/>
  <c r="P85" i="16"/>
  <c r="P83" i="16"/>
  <c r="P81" i="16"/>
  <c r="P79" i="16"/>
  <c r="P77" i="16"/>
  <c r="G102" i="16"/>
  <c r="P101" i="16"/>
  <c r="P99" i="16"/>
  <c r="P97" i="16"/>
  <c r="P95" i="16"/>
  <c r="P93" i="16"/>
  <c r="O85" i="16"/>
  <c r="O83" i="16"/>
  <c r="O81" i="16"/>
  <c r="O79" i="16"/>
  <c r="O77" i="16"/>
  <c r="G101" i="16"/>
  <c r="O101" i="16"/>
  <c r="O99" i="16"/>
  <c r="O97" i="16"/>
  <c r="O95" i="16"/>
  <c r="O93" i="16"/>
  <c r="N51" i="16"/>
  <c r="N49" i="16"/>
  <c r="N47" i="16"/>
  <c r="N45" i="16"/>
  <c r="N85" i="16"/>
  <c r="N83" i="16"/>
  <c r="N81" i="16"/>
  <c r="N79" i="16"/>
  <c r="N77" i="16"/>
  <c r="G100" i="16"/>
  <c r="N101" i="16"/>
  <c r="N99" i="16"/>
  <c r="N97" i="16"/>
  <c r="N95" i="16"/>
  <c r="H110" i="16"/>
  <c r="H112" i="16"/>
  <c r="H114" i="16"/>
  <c r="H116" i="16"/>
  <c r="H118" i="16"/>
  <c r="G111" i="16"/>
  <c r="J8" i="16"/>
  <c r="J10" i="16"/>
  <c r="J12" i="16"/>
  <c r="J14" i="16"/>
  <c r="J16" i="16"/>
  <c r="G11" i="16"/>
  <c r="I110" i="16"/>
  <c r="I112" i="16"/>
  <c r="I114" i="16"/>
  <c r="I116" i="16"/>
  <c r="I118" i="16"/>
  <c r="G112" i="16"/>
  <c r="K8" i="16"/>
  <c r="K10" i="16"/>
  <c r="K12" i="16"/>
  <c r="K14" i="16"/>
  <c r="K16" i="16"/>
  <c r="G12" i="16"/>
  <c r="J110" i="16"/>
  <c r="J112" i="16"/>
  <c r="J114" i="16"/>
  <c r="J116" i="16"/>
  <c r="J118" i="16"/>
  <c r="G113" i="16"/>
  <c r="L8" i="16"/>
  <c r="L10" i="16"/>
  <c r="L12" i="16"/>
  <c r="L14" i="16"/>
  <c r="L16" i="16"/>
  <c r="G13" i="16"/>
  <c r="K110" i="16"/>
  <c r="K112" i="16"/>
  <c r="K114" i="16"/>
  <c r="K116" i="16"/>
  <c r="K118" i="16"/>
  <c r="G114" i="16"/>
  <c r="M8" i="16"/>
  <c r="M10" i="16"/>
  <c r="M12" i="16"/>
  <c r="M14" i="16"/>
  <c r="M16" i="16"/>
  <c r="G14" i="16"/>
  <c r="L110" i="16"/>
  <c r="L112" i="16"/>
  <c r="L114" i="16"/>
  <c r="L116" i="16"/>
  <c r="L118" i="16"/>
  <c r="G115" i="16"/>
  <c r="N8" i="16"/>
  <c r="N10" i="16"/>
  <c r="N12" i="16"/>
  <c r="N14" i="16"/>
  <c r="N16" i="16"/>
  <c r="G15" i="16"/>
  <c r="M110" i="16"/>
  <c r="M112" i="16"/>
  <c r="M114" i="16"/>
  <c r="M116" i="16"/>
  <c r="M118" i="16"/>
  <c r="G116" i="16"/>
  <c r="O8" i="16"/>
  <c r="O10" i="16"/>
  <c r="O12" i="16"/>
  <c r="O14" i="16"/>
  <c r="O16" i="16"/>
  <c r="G16" i="16"/>
  <c r="N110" i="16"/>
  <c r="N112" i="16"/>
  <c r="N114" i="16"/>
  <c r="N116" i="16"/>
  <c r="N118" i="16"/>
  <c r="G117" i="16"/>
  <c r="P8" i="16"/>
  <c r="P10" i="16"/>
  <c r="P12" i="16"/>
  <c r="P14" i="16"/>
  <c r="P16" i="16"/>
  <c r="G17" i="16"/>
  <c r="O110" i="16"/>
  <c r="H26" i="12"/>
  <c r="H30" i="12" s="1"/>
  <c r="H39" i="12" s="1"/>
  <c r="F30" i="12"/>
  <c r="H10" i="8"/>
  <c r="H18" i="8" s="1"/>
  <c r="F18" i="8"/>
  <c r="H21" i="1"/>
  <c r="C7" i="1"/>
  <c r="J14" i="1" s="1" a="1"/>
  <c r="J14" i="1" s="1"/>
  <c r="J13" i="1"/>
  <c r="H74" i="8"/>
  <c r="H82" i="8" s="1"/>
  <c r="H86" i="8" s="1"/>
  <c r="F82" i="8"/>
  <c r="H20" i="8"/>
  <c r="H21" i="8" s="1"/>
  <c r="F21" i="8"/>
  <c r="P25" i="2"/>
  <c r="F24" i="3"/>
  <c r="H38" i="12"/>
  <c r="F29" i="2"/>
  <c r="H27" i="2"/>
  <c r="H29" i="2" s="1"/>
  <c r="P27" i="2"/>
  <c r="P29" i="2" s="1"/>
  <c r="H15" i="2"/>
  <c r="P30" i="12"/>
  <c r="P39" i="12" s="1"/>
  <c r="N38" i="12"/>
  <c r="P35" i="12"/>
  <c r="P38" i="12" s="1"/>
  <c r="H14" i="3"/>
  <c r="H24" i="3" s="1"/>
  <c r="H34" i="3" s="1"/>
  <c r="H32" i="12"/>
  <c r="H33" i="12" s="1"/>
  <c r="E26" i="1" l="1"/>
  <c r="E32" i="1"/>
  <c r="F32" i="1" s="1"/>
  <c r="B34" i="1"/>
  <c r="E22" i="1"/>
  <c r="F22" i="1" s="1"/>
  <c r="P34" i="2"/>
  <c r="D22" i="2" s="1"/>
  <c r="F22" i="2" s="1"/>
  <c r="H22" i="8"/>
  <c r="H32" i="1" l="1"/>
  <c r="H33" i="1" s="1"/>
  <c r="F33" i="1"/>
  <c r="E27" i="1"/>
  <c r="F27" i="1" s="1"/>
  <c r="H27" i="1" s="1"/>
  <c r="F26" i="1"/>
  <c r="H22" i="2"/>
  <c r="H25" i="2" s="1"/>
  <c r="H35" i="2" s="1"/>
  <c r="H36" i="2" s="1"/>
  <c r="F25" i="2"/>
  <c r="H22" i="1"/>
  <c r="H24" i="1" s="1"/>
  <c r="F24" i="1"/>
  <c r="H26" i="1" l="1"/>
  <c r="F30" i="1"/>
  <c r="H30" i="1" s="1"/>
  <c r="H3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tc={D3012A53-67E9-4223-AB85-71B1FF4328F3}</author>
    <author>tc={02159F1B-4DEF-4EA3-8B6D-4B576E4DA6F5}</author>
    <author>tc={A5852946-8D62-40AA-8C70-F769E051FE86}</author>
  </authors>
  <commentList>
    <comment ref="D74" authorId="0" shapeId="0" xr:uid="{D3012A53-67E9-4223-AB85-71B1FF4328F3}">
      <text>
        <t>[Threaded comment]
Your version of Excel allows you to read this threaded comment; however, any edits to it will get removed if the file is opened in a newer version of Excel. Learn more: https://go.microsoft.com/fwlink/?linkid=870924
Comment:
    The $655 for the guardian dog + the $450 travel fee is based on USDA APHIS Wildlife Services Nonlethal Initiative for Livestock Protection 2021 report.</t>
      </text>
    </comment>
    <comment ref="C77" authorId="1" shapeId="0" xr:uid="{02159F1B-4DEF-4EA3-8B6D-4B576E4DA6F5}">
      <text>
        <t>[Threaded comment]
Your version of Excel allows you to read this threaded comment; however, any edits to it will get removed if the file is opened in a newer version of Excel. Learn more: https://go.microsoft.com/fwlink/?linkid=870924
Comment:
    There is a slew of annual vaccines that dogs need to get every year so I aggregated them for simplicity. The list of the annual vaccinations and their individual prices can be found to the right of the budget sheet.</t>
      </text>
    </comment>
    <comment ref="E84" authorId="2" shapeId="0" xr:uid="{A5852946-8D62-40AA-8C70-F769E051FE86}">
      <text>
        <t>[Threaded comment]
Your version of Excel allows you to read this threaded comment; however, any edits to it will get removed if the file is opened in a newer version of Excel. Learn more: https://go.microsoft.com/fwlink/?linkid=870924
Comment:
    I haven’t found conclusive information for how much personal training goes into a guardian dog. The wildlife specialist I spoke to said they require more attention in the first two years but that they guard naturally if introduced to livestock early and if in the presences of other established guardian dogs.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<sst xmlns="http://schemas.openxmlformats.org/spreadsheetml/2006/main" count="661" uniqueCount="318">
  <si>
    <t>Component</t>
  </si>
  <si>
    <t>$/unit</t>
  </si>
  <si>
    <t>Units/Mi</t>
  </si>
  <si>
    <t>$/Mi</t>
  </si>
  <si>
    <t>Source</t>
  </si>
  <si>
    <t>CATTLE</t>
  </si>
  <si>
    <t>Electric Fence Charger</t>
  </si>
  <si>
    <t>Estimated Production Costs</t>
  </si>
  <si>
    <t xml:space="preserve">DIRECT COSTS </t>
  </si>
  <si>
    <t>ITEM</t>
  </si>
  <si>
    <t>UNIT</t>
  </si>
  <si>
    <t>COST PER UNIT</t>
  </si>
  <si>
    <t xml:space="preserve">QUANTITY  </t>
  </si>
  <si>
    <t>USEFUL LIFE (Yrs)</t>
  </si>
  <si>
    <t>ANNUALIZED COST ($/mile/yr)</t>
  </si>
  <si>
    <t>Voltmeter</t>
  </si>
  <si>
    <t>MATERIALS &amp; SUPPLIES</t>
  </si>
  <si>
    <t>Flagged Poly Wire (Turbo Fladry)</t>
  </si>
  <si>
    <t>Flagged Poly Wire + Delivery</t>
  </si>
  <si>
    <t>mi</t>
  </si>
  <si>
    <t>charger</t>
  </si>
  <si>
    <t>Ground Rod Set</t>
  </si>
  <si>
    <t>set</t>
  </si>
  <si>
    <t>Galvanized steel wire</t>
  </si>
  <si>
    <t>Fiberglass Posts</t>
  </si>
  <si>
    <t>1 post</t>
  </si>
  <si>
    <t>Fiberglass Post Insulator</t>
  </si>
  <si>
    <t>Fiberglass Post Insulators</t>
  </si>
  <si>
    <t>1 insul.</t>
  </si>
  <si>
    <t>T-posts</t>
  </si>
  <si>
    <t>T-post Insulators</t>
  </si>
  <si>
    <t>Post Pounder</t>
  </si>
  <si>
    <t>Electric Gate Handles</t>
  </si>
  <si>
    <t>1 handle</t>
  </si>
  <si>
    <t>Rubber Mallet</t>
  </si>
  <si>
    <t>Fladry Reel</t>
  </si>
  <si>
    <t>1 reel</t>
  </si>
  <si>
    <t>Wire Cutter</t>
  </si>
  <si>
    <t>Electric gate handles</t>
  </si>
  <si>
    <t>Total Material Expenses</t>
  </si>
  <si>
    <t>EQUIPMENT/VEHICLE OR SIMILAR</t>
  </si>
  <si>
    <t>Garden Hose Reel</t>
  </si>
  <si>
    <t>Pick-Up Truck</t>
  </si>
  <si>
    <t>NA</t>
  </si>
  <si>
    <t>Trailer</t>
  </si>
  <si>
    <t>Total Vehicle Costs</t>
  </si>
  <si>
    <t>LABOR</t>
  </si>
  <si>
    <t>Installation</t>
  </si>
  <si>
    <t>hours</t>
  </si>
  <si>
    <t>Maintenance and Repair</t>
  </si>
  <si>
    <t>Total Labor Expenses</t>
  </si>
  <si>
    <t>Electrified Night Penning for Sheep</t>
  </si>
  <si>
    <t>Output</t>
  </si>
  <si>
    <t>Sq feet needed</t>
  </si>
  <si>
    <t>OR</t>
  </si>
  <si>
    <t>Positive/negative netting</t>
  </si>
  <si>
    <t>Sheep and Goat Netting</t>
  </si>
  <si>
    <t>rolls</t>
  </si>
  <si>
    <t>Fence Charger</t>
  </si>
  <si>
    <t>Solar Panel</t>
  </si>
  <si>
    <t xml:space="preserve">Solar Panel </t>
  </si>
  <si>
    <t>panel</t>
  </si>
  <si>
    <t>Solar Panel Battery Box</t>
  </si>
  <si>
    <t>Solar Panel Battery</t>
  </si>
  <si>
    <t>battery</t>
  </si>
  <si>
    <t>Penning Training</t>
  </si>
  <si>
    <t>Range Riding</t>
  </si>
  <si>
    <t xml:space="preserve">Price </t>
  </si>
  <si>
    <t xml:space="preserve">Source </t>
  </si>
  <si>
    <t>Tarp</t>
  </si>
  <si>
    <t>Horse</t>
  </si>
  <si>
    <t>ATV/UTV</t>
  </si>
  <si>
    <t>$0.22/mile</t>
  </si>
  <si>
    <t>Range Rider</t>
  </si>
  <si>
    <t>Pick-up</t>
  </si>
  <si>
    <t>$0.67/mile</t>
  </si>
  <si>
    <t>Bear Spray</t>
  </si>
  <si>
    <t>$40.00/item</t>
  </si>
  <si>
    <t>$3.29/gal (9/2/2024)</t>
  </si>
  <si>
    <t>Notes</t>
  </si>
  <si>
    <t>*Range Riding operations cost from $25,000 to 60,000 annually depending on operation size and scale</t>
  </si>
  <si>
    <t>*According the NRCS data, 480 hours of range riding labor were required to monitor an individual ranch that made up 50,000 acres of land , similarly, 960 range riding hours were used to manage a 150,000 acre individual ranch</t>
  </si>
  <si>
    <t>*The NRCS used a horse 96 days over the course of 6 monts which equates to 57% of the time, which equates almost perfectly to 4 days/week</t>
  </si>
  <si>
    <t>Cattle</t>
  </si>
  <si>
    <t>Acres</t>
  </si>
  <si>
    <t>Hours needed/wk</t>
  </si>
  <si>
    <t>Average:</t>
  </si>
  <si>
    <t>Auto suggested:</t>
  </si>
  <si>
    <t>Yes</t>
  </si>
  <si>
    <t>Range Riding Enterprise Budget
Total Costs for one Managed Parcel</t>
  </si>
  <si>
    <t>ITEMS</t>
  </si>
  <si>
    <t>TOTAL</t>
  </si>
  <si>
    <t>SALVAGE VALUE</t>
  </si>
  <si>
    <t xml:space="preserve">ANNUALIZED COST </t>
  </si>
  <si>
    <t>Cell phone/gps</t>
  </si>
  <si>
    <t>month</t>
  </si>
  <si>
    <t>item</t>
  </si>
  <si>
    <t>Tarps/bags</t>
  </si>
  <si>
    <t>day</t>
  </si>
  <si>
    <t>Price</t>
  </si>
  <si>
    <t>Long stem compost thermometer</t>
  </si>
  <si>
    <t>6' tall steel t-post</t>
  </si>
  <si>
    <t>4' tall net fence</t>
  </si>
  <si>
    <t>cubic yard</t>
  </si>
  <si>
    <t>Hay moisture probe</t>
  </si>
  <si>
    <t>ANNUALIZED COST ($/herd/yr)</t>
  </si>
  <si>
    <t>MATERIALS, SUPPLIES &amp; PERMITS</t>
  </si>
  <si>
    <t>Long-Stem Compost Thermometer</t>
  </si>
  <si>
    <t>1 therm.</t>
  </si>
  <si>
    <t>1 probe</t>
  </si>
  <si>
    <t>Compost Site Lease Fee</t>
  </si>
  <si>
    <t>fee</t>
  </si>
  <si>
    <t>Wood Chips (bulking agent) + delivery fee</t>
  </si>
  <si>
    <t>Sprinklers</t>
  </si>
  <si>
    <t>sprinkler</t>
  </si>
  <si>
    <t>Electric Fence</t>
  </si>
  <si>
    <t>10' Jersey barriers + delivery fee</t>
  </si>
  <si>
    <t>barrier</t>
  </si>
  <si>
    <t>miles</t>
  </si>
  <si>
    <t>Front-end/skid steer loader</t>
  </si>
  <si>
    <t>Total Machinery Costs</t>
  </si>
  <si>
    <t>Maintenance</t>
  </si>
  <si>
    <t xml:space="preserve">hours </t>
  </si>
  <si>
    <t>Carcass Pick-up</t>
  </si>
  <si>
    <t>Total Annualized Costs</t>
  </si>
  <si>
    <t>Total Annualized Costs/Head of Livestock</t>
  </si>
  <si>
    <t xml:space="preserve">Estimated Production Costs </t>
  </si>
  <si>
    <t xml:space="preserve">TOTAL </t>
  </si>
  <si>
    <t>ANNUALIZED COST ($/dog(s)/yr)</t>
  </si>
  <si>
    <t>Turkish kangal</t>
  </si>
  <si>
    <t>Guard Dog + transportation fee</t>
  </si>
  <si>
    <t>animal</t>
  </si>
  <si>
    <t>Dog food</t>
  </si>
  <si>
    <t>Neuter/spay</t>
  </si>
  <si>
    <t>procedure</t>
  </si>
  <si>
    <t>lb</t>
  </si>
  <si>
    <t>Neuter/Spay</t>
  </si>
  <si>
    <t>Annual vaccinations</t>
  </si>
  <si>
    <t>vaccines</t>
  </si>
  <si>
    <t>Vacinations</t>
  </si>
  <si>
    <t>Microchip</t>
  </si>
  <si>
    <t>microchip</t>
  </si>
  <si>
    <t>WDLI (insurance)</t>
  </si>
  <si>
    <t>Shelter</t>
  </si>
  <si>
    <t>shelter</t>
  </si>
  <si>
    <t xml:space="preserve">Insurance </t>
  </si>
  <si>
    <t>Miscellaneus items</t>
  </si>
  <si>
    <t>Training</t>
  </si>
  <si>
    <t>vaccine</t>
  </si>
  <si>
    <t>Livestock Guardian Dog Enterprise Budget</t>
  </si>
  <si>
    <t>No</t>
  </si>
  <si>
    <t>Snowmobile</t>
  </si>
  <si>
    <t>Hose timer</t>
  </si>
  <si>
    <t>timer</t>
  </si>
  <si>
    <t>well</t>
  </si>
  <si>
    <t>Woven Wire Fencing</t>
  </si>
  <si>
    <t>Turbo Braid</t>
  </si>
  <si>
    <t>roll</t>
  </si>
  <si>
    <t>Geared Reel</t>
  </si>
  <si>
    <t>Concrete pad</t>
  </si>
  <si>
    <t>sq ft</t>
  </si>
  <si>
    <t>Water well installation</t>
  </si>
  <si>
    <t>Carcass Composting</t>
  </si>
  <si>
    <t>Livestock Guardian Dogs</t>
  </si>
  <si>
    <t>Deterrent Devices</t>
  </si>
  <si>
    <t>General Sources</t>
  </si>
  <si>
    <t>Questions:</t>
  </si>
  <si>
    <t>1.     How many miles of fencing do you need?</t>
  </si>
  <si>
    <t xml:space="preserve">2.     Do you live in an area that is particularly rocky or has rugged terrain or deep snow? </t>
  </si>
  <si>
    <t>3.     Will you require a snow machine for installation?</t>
  </si>
  <si>
    <t>Interest Rate:</t>
  </si>
  <si>
    <t>4.     What is the average weight of a carcass?</t>
  </si>
  <si>
    <t>5.     Required milage of electric fencing?</t>
  </si>
  <si>
    <t>Interest Rate</t>
  </si>
  <si>
    <t>Response</t>
  </si>
  <si>
    <t>Cattle Structure</t>
  </si>
  <si>
    <t>101-400</t>
  </si>
  <si>
    <t>0-100</t>
  </si>
  <si>
    <t>401-900</t>
  </si>
  <si>
    <t>901+</t>
  </si>
  <si>
    <r>
      <t xml:space="preserve">1.     How many </t>
    </r>
    <r>
      <rPr>
        <b/>
        <sz val="11"/>
        <color theme="1"/>
        <rFont val="Aptos Narrow"/>
        <family val="2"/>
        <scheme val="minor"/>
      </rPr>
      <t>months</t>
    </r>
    <r>
      <rPr>
        <sz val="11"/>
        <color theme="1"/>
        <rFont val="Aptos Narrow"/>
        <family val="2"/>
        <scheme val="minor"/>
      </rPr>
      <t xml:space="preserve"> of range riding?</t>
    </r>
  </si>
  <si>
    <t>2.     How large is your herd?</t>
  </si>
  <si>
    <r>
      <t xml:space="preserve">4.     How many </t>
    </r>
    <r>
      <rPr>
        <b/>
        <sz val="11"/>
        <color theme="1"/>
        <rFont val="Aptos Narrow"/>
        <family val="2"/>
        <scheme val="minor"/>
      </rPr>
      <t>miles</t>
    </r>
    <r>
      <rPr>
        <sz val="11"/>
        <color theme="1"/>
        <rFont val="Aptos Narrow"/>
        <family val="2"/>
        <scheme val="minor"/>
      </rPr>
      <t xml:space="preserve"> away is your operation from where you keep horses/ATV/UTV?</t>
    </r>
  </si>
  <si>
    <t>5.     Are you using a horse or ATV/UTV?</t>
  </si>
  <si>
    <t>6.     Quantity of horses needed?</t>
  </si>
  <si>
    <t>7.     Quantity of ATV/UTVs needed?</t>
  </si>
  <si>
    <t>8.  Do you live in an area with particularly rugged or rough terrain?</t>
  </si>
  <si>
    <t>3.     How many acres is your rangeland?</t>
  </si>
  <si>
    <r>
      <t xml:space="preserve">9.     How many </t>
    </r>
    <r>
      <rPr>
        <b/>
        <sz val="11"/>
        <color theme="1"/>
        <rFont val="Aptos Narrow"/>
        <family val="2"/>
        <scheme val="minor"/>
      </rPr>
      <t>hours</t>
    </r>
    <r>
      <rPr>
        <sz val="11"/>
        <color theme="1"/>
        <rFont val="Aptos Narrow"/>
        <family val="2"/>
        <scheme val="minor"/>
      </rPr>
      <t xml:space="preserve"> of riding needed/week?</t>
    </r>
  </si>
  <si>
    <t>1.     How many feet of fencing do you need?</t>
  </si>
  <si>
    <t>2.     How  many months will you require night penning?</t>
  </si>
  <si>
    <t>1.     How many sheep do you have?</t>
  </si>
  <si>
    <t>Device:</t>
  </si>
  <si>
    <t>Link 1</t>
  </si>
  <si>
    <t>Link 2</t>
  </si>
  <si>
    <t>Link 3</t>
  </si>
  <si>
    <t xml:space="preserve">Amazon.com </t>
  </si>
  <si>
    <t>WorldTechOutlet.com</t>
  </si>
  <si>
    <t>Fox Light</t>
  </si>
  <si>
    <t>Solar Sound Alarm</t>
  </si>
  <si>
    <t>Game Camera</t>
  </si>
  <si>
    <t>Amazon.com</t>
  </si>
  <si>
    <t>Aroflit</t>
  </si>
  <si>
    <t>Walmart.com</t>
  </si>
  <si>
    <t>2025 Annualized cost:</t>
  </si>
  <si>
    <t>2025 Price range:</t>
  </si>
  <si>
    <t xml:space="preserve">Tractor Supply Co </t>
  </si>
  <si>
    <t>$15.99 - $49.99</t>
  </si>
  <si>
    <t>$59.95 - $129.99</t>
  </si>
  <si>
    <t>Turbo Fladry</t>
  </si>
  <si>
    <t>NRDC</t>
  </si>
  <si>
    <t>Premier1Supplies</t>
  </si>
  <si>
    <t>homedepot.com</t>
  </si>
  <si>
    <t>Tractor Supply Co.</t>
  </si>
  <si>
    <t>Sourcing Information</t>
  </si>
  <si>
    <t xml:space="preserve">ULINE </t>
  </si>
  <si>
    <t>Northern Tool</t>
  </si>
  <si>
    <t xml:space="preserve">NRDC: INSTALLING TURBO FLADRY - AN INFORMATIONAL GUIDE </t>
  </si>
  <si>
    <t>Guardian Dog #</t>
  </si>
  <si>
    <t>Tractor Supply Co</t>
  </si>
  <si>
    <t>Jeffers</t>
  </si>
  <si>
    <t>Western Land Owners Electric Fencing Tool Kit</t>
  </si>
  <si>
    <t>The Home Depot</t>
  </si>
  <si>
    <t>Internal Revenue Service</t>
  </si>
  <si>
    <t>My Patriot Supply</t>
  </si>
  <si>
    <t>EIA</t>
  </si>
  <si>
    <t>Gas Price (9/2/24)</t>
  </si>
  <si>
    <t>Sourcing Infromation</t>
  </si>
  <si>
    <t>Used Jersey Barrier</t>
  </si>
  <si>
    <t>48 Barriers</t>
  </si>
  <si>
    <t>Mytee Products</t>
  </si>
  <si>
    <t>Agriculture Solutions</t>
  </si>
  <si>
    <t>USDA APHIS WS Report</t>
  </si>
  <si>
    <t>Texas A&amp;M AgriLife Extension LGDs</t>
  </si>
  <si>
    <t>Spend On Pet</t>
  </si>
  <si>
    <t>Dogster</t>
  </si>
  <si>
    <t>WDLI</t>
  </si>
  <si>
    <t>Vety</t>
  </si>
  <si>
    <t>Texas A&amp;M AgriLife Extension LGD Diets</t>
  </si>
  <si>
    <t>Oklahoma State Extension - Mortality Composting</t>
  </si>
  <si>
    <t>SARE - Livestock Mortality Composting</t>
  </si>
  <si>
    <t>Florida SART - Composting Animal Mortalities: A Producer’s Guide</t>
  </si>
  <si>
    <t>Perimeter Method</t>
  </si>
  <si>
    <t>Quantity of Sheep Method</t>
  </si>
  <si>
    <t>Washington Department of Fish and Wildlife</t>
  </si>
  <si>
    <t>Western Landowners - Range Riding Tool Kit</t>
  </si>
  <si>
    <t>Colorado State University - Wolf Resources Guide</t>
  </si>
  <si>
    <t>Conservation Northwest - Range Rider Pilot Project</t>
  </si>
  <si>
    <t>Months of RR</t>
  </si>
  <si>
    <t>Mode of RR</t>
  </si>
  <si>
    <t># of Horses</t>
  </si>
  <si>
    <t># of ATVs/UTVs</t>
  </si>
  <si>
    <t>$30/hour</t>
  </si>
  <si>
    <t>$19.98/item</t>
  </si>
  <si>
    <t>Prices will vary</t>
  </si>
  <si>
    <t>Months of Night Penning</t>
  </si>
  <si>
    <t>Concrete Pad</t>
  </si>
  <si>
    <t>$6-$12</t>
  </si>
  <si>
    <t>Concrete Slab Cost</t>
  </si>
  <si>
    <t>Sprinkler and Hose</t>
  </si>
  <si>
    <t>Tractor Supply .Co</t>
  </si>
  <si>
    <t>Woodchips</t>
  </si>
  <si>
    <t>Prices vary</t>
  </si>
  <si>
    <t>$1.50-$3/lb</t>
  </si>
  <si>
    <t>Pet Supplies Plus - Purina</t>
  </si>
  <si>
    <t>University of California Cooperative Extension</t>
  </si>
  <si>
    <t>Electric Fence Online</t>
  </si>
  <si>
    <t>$97.74 - $122.82</t>
  </si>
  <si>
    <t>3.     How many months will you require night penning?</t>
  </si>
  <si>
    <t>2.      How many sq feet per sheep do you wish to have?</t>
  </si>
  <si>
    <t>Sq feet/Sheep</t>
  </si>
  <si>
    <t>Perimeter (ft)</t>
  </si>
  <si>
    <t>ANNUALIZED COST ($/fence/yr)</t>
  </si>
  <si>
    <t>10.  How many range riders do you require?</t>
  </si>
  <si>
    <t>1.     On average, how many carcasses would be composting at this facility?</t>
  </si>
  <si>
    <t>% of Carcass Pick-up</t>
  </si>
  <si>
    <t>2.     What percentage of these carcasses would need to be picked up?</t>
  </si>
  <si>
    <t>3.     What is the average round trip distance in miles for a carcass pickup?</t>
  </si>
  <si>
    <t>1.     How many guardian dogs are you interested in?</t>
  </si>
  <si>
    <t>Defenders of Wildlife - Livestock and Wolves</t>
  </si>
  <si>
    <t>People and Carnivores - Electrified Fladry</t>
  </si>
  <si>
    <t>Practice Efficency</t>
  </si>
  <si>
    <t>Risk</t>
  </si>
  <si>
    <t>Combined Use of Turbo Fladry and Carcass Composting</t>
  </si>
  <si>
    <t>Combined Use of LGD and ENP</t>
  </si>
  <si>
    <t>Livestock Guardian Dog (No Subsidy)</t>
  </si>
  <si>
    <t>Carcass Composting (No Subsidy)</t>
  </si>
  <si>
    <t>Range Riding (No Subsidy)</t>
  </si>
  <si>
    <t>Subsidy + Compensation</t>
  </si>
  <si>
    <t>25% Cattle Compensation</t>
  </si>
  <si>
    <t>Electrified Night Penning Sensitivity Table (No Subsidy)</t>
  </si>
  <si>
    <t>50% Practice Subsidy</t>
  </si>
  <si>
    <t>No Subsidy</t>
  </si>
  <si>
    <t>Legend</t>
  </si>
  <si>
    <t>Turbo Fladry: Positive Financial Payoffs Across Subsidy and Compensation Scenarios</t>
  </si>
  <si>
    <t>Turbo Fladry (No Subsidy)</t>
  </si>
  <si>
    <t>Subsidy:</t>
  </si>
  <si>
    <t>FMV: Cattle</t>
  </si>
  <si>
    <t>FMV: Sheep</t>
  </si>
  <si>
    <t>TC:</t>
  </si>
  <si>
    <t>TF Cost:</t>
  </si>
  <si>
    <t>ENP Cost:</t>
  </si>
  <si>
    <t>RR Cost:</t>
  </si>
  <si>
    <t>CC Cost:</t>
  </si>
  <si>
    <t>LGD Cost:</t>
  </si>
  <si>
    <t>Compensation:</t>
  </si>
  <si>
    <t>Inputs</t>
  </si>
  <si>
    <t>Split across 5 operations:</t>
  </si>
  <si>
    <r>
      <rPr>
        <b/>
        <sz val="16"/>
        <color theme="1"/>
        <rFont val="Aptos Narrow"/>
        <family val="2"/>
        <scheme val="minor"/>
      </rPr>
      <t>Turbo Fladry:</t>
    </r>
    <r>
      <rPr>
        <sz val="16"/>
        <color theme="1"/>
        <rFont val="Aptos Narrow"/>
        <family val="2"/>
        <scheme val="minor"/>
      </rPr>
      <t xml:space="preserve"> Break-Even Effectiveness Required at Various Predation Quantities </t>
    </r>
  </si>
  <si>
    <t>Risk Level</t>
  </si>
  <si>
    <t>Predations</t>
  </si>
  <si>
    <t>*No indirect costs included</t>
  </si>
  <si>
    <r>
      <rPr>
        <b/>
        <sz val="16"/>
        <color theme="1"/>
        <rFont val="Aptos Narrow"/>
        <family val="2"/>
        <scheme val="minor"/>
      </rPr>
      <t>Night Penning:</t>
    </r>
    <r>
      <rPr>
        <sz val="16"/>
        <color theme="1"/>
        <rFont val="Aptos Narrow"/>
        <family val="2"/>
        <scheme val="minor"/>
      </rPr>
      <t xml:space="preserve"> Break-Even Effectiveness Required at Various Predation Quantities</t>
    </r>
  </si>
  <si>
    <r>
      <rPr>
        <b/>
        <sz val="16"/>
        <color theme="1"/>
        <rFont val="Aptos Narrow"/>
        <family val="2"/>
        <scheme val="minor"/>
      </rPr>
      <t>Range Riding:</t>
    </r>
    <r>
      <rPr>
        <sz val="16"/>
        <color theme="1"/>
        <rFont val="Aptos Narrow"/>
        <family val="2"/>
        <scheme val="minor"/>
      </rPr>
      <t xml:space="preserve"> Break-Even Effectiveness Required at Various Predation Quantities</t>
    </r>
  </si>
  <si>
    <r>
      <rPr>
        <b/>
        <sz val="16"/>
        <color theme="1"/>
        <rFont val="Aptos Narrow"/>
        <family val="2"/>
        <scheme val="minor"/>
      </rPr>
      <t>Carcass Composting:</t>
    </r>
    <r>
      <rPr>
        <sz val="16"/>
        <color theme="1"/>
        <rFont val="Aptos Narrow"/>
        <family val="2"/>
        <scheme val="minor"/>
      </rPr>
      <t xml:space="preserve"> Break-Even Effectiveness Required at Various Predation Quantities</t>
    </r>
  </si>
  <si>
    <r>
      <rPr>
        <b/>
        <sz val="16"/>
        <color theme="1"/>
        <rFont val="Aptos Narrow"/>
        <family val="2"/>
        <scheme val="minor"/>
      </rPr>
      <t xml:space="preserve">Livestock Guardian Dog: </t>
    </r>
    <r>
      <rPr>
        <sz val="16"/>
        <color theme="1"/>
        <rFont val="Aptos Narrow"/>
        <family val="2"/>
        <scheme val="minor"/>
      </rPr>
      <t xml:space="preserve">Break-Even Effectiveness Required at Various Predation Quantities </t>
    </r>
  </si>
  <si>
    <r>
      <rPr>
        <b/>
        <sz val="14"/>
        <color theme="1"/>
        <rFont val="Aptos Narrow"/>
        <family val="2"/>
        <scheme val="minor"/>
      </rPr>
      <t xml:space="preserve">Electrified Night Penning and LGD: </t>
    </r>
    <r>
      <rPr>
        <sz val="14"/>
        <color theme="1"/>
        <rFont val="Aptos Narrow"/>
        <family val="2"/>
        <scheme val="minor"/>
      </rPr>
      <t xml:space="preserve">Break-Even Effectiveness Required at Various </t>
    </r>
    <r>
      <rPr>
        <u/>
        <sz val="14"/>
        <color theme="1"/>
        <rFont val="Aptos Narrow"/>
        <family val="2"/>
        <scheme val="minor"/>
      </rPr>
      <t>Sheep</t>
    </r>
    <r>
      <rPr>
        <i/>
        <sz val="14"/>
        <color theme="1"/>
        <rFont val="Aptos Narrow"/>
        <family val="2"/>
        <scheme val="minor"/>
      </rPr>
      <t xml:space="preserve"> </t>
    </r>
    <r>
      <rPr>
        <sz val="14"/>
        <color theme="1"/>
        <rFont val="Aptos Narrow"/>
        <family val="2"/>
        <scheme val="minor"/>
      </rPr>
      <t xml:space="preserve">Predation Quantities </t>
    </r>
  </si>
  <si>
    <r>
      <rPr>
        <b/>
        <sz val="13.5"/>
        <color theme="1"/>
        <rFont val="Aptos Narrow"/>
        <family val="2"/>
        <scheme val="minor"/>
      </rPr>
      <t xml:space="preserve">Carcass Composting and Turbo Fladry: </t>
    </r>
    <r>
      <rPr>
        <sz val="13.5"/>
        <color theme="1"/>
        <rFont val="Aptos Narrow"/>
        <family val="2"/>
        <scheme val="minor"/>
      </rPr>
      <t xml:space="preserve">Break-Even Effectiveness Required at Various </t>
    </r>
    <r>
      <rPr>
        <u/>
        <sz val="13.5"/>
        <color theme="1"/>
        <rFont val="Aptos Narrow"/>
        <family val="2"/>
        <scheme val="minor"/>
      </rPr>
      <t>Cattle</t>
    </r>
    <r>
      <rPr>
        <sz val="13.5"/>
        <color theme="1"/>
        <rFont val="Aptos Narrow"/>
        <family val="2"/>
        <scheme val="minor"/>
      </rPr>
      <t xml:space="preserve"> Predation Quantities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</si>
</sst>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164" formatCode="&quot;$&quot;#,##0.00"/>
    <numFmt numFmtId="165" formatCode="0.0"/>
  </numFmts>
  <fonts count="39" x14ac:knownFonts="1">
    <font>
      <sz val="11"/>
      <color theme="1"/>
      <name val="Aptos Narrow"/>
      <family val="2"/>
      <scheme val="minor"/>
    </font>
    <font>
      <b/>
      <sz val="11"/>
      <color theme="1"/>
      <name val="Aptos Narrow"/>
      <family val="2"/>
      <scheme val="minor"/>
    </font>
    <font>
      <u/>
      <sz val="11"/>
      <color theme="10"/>
      <name val="Aptos Narrow"/>
      <family val="2"/>
      <scheme val="minor"/>
    </font>
    <font>
      <sz val="11"/>
      <color rgb="FF000000"/>
      <name val="Calibri"/>
      <family val="2"/>
    </font>
    <font>
      <b/>
      <sz val="14"/>
      <color rgb="FF000000"/>
      <name val="Calibri"/>
      <family val="2"/>
    </font>
    <font>
      <b/>
      <sz val="11"/>
      <color rgb="FFFFFFFF"/>
      <name val="Calibri"/>
      <family val="2"/>
    </font>
    <font>
      <b/>
      <sz val="11"/>
      <color rgb="FF000000"/>
      <name val="Calibri"/>
      <family val="2"/>
    </font>
    <font>
      <sz val="9"/>
      <color rgb="FF000000"/>
      <name val="Calibri"/>
      <family val="2"/>
    </font>
    <font>
      <sz val="11"/>
      <color theme="1"/>
      <name val="Aptos Narrow"/>
      <family val="2"/>
      <scheme val="minor"/>
    </font>
    <font>
      <sz val="11"/>
      <color theme="1"/>
      <name val="Calibri"/>
      <family val="2"/>
    </font>
    <font>
      <sz val="11"/>
      <name val="Aptos Narrow"/>
      <family val="2"/>
      <scheme val="minor"/>
    </font>
    <font>
      <b/>
      <sz val="11"/>
      <name val="Aptos Narrow"/>
      <family val="2"/>
      <scheme val="minor"/>
    </font>
    <font>
      <sz val="5"/>
      <color rgb="FF222222"/>
      <name val="Segoe UI"/>
      <family val="2"/>
    </font>
    <font>
      <b/>
      <sz val="5"/>
      <color rgb="FF222222"/>
      <name val="Segoe UI"/>
      <family val="2"/>
    </font>
    <font>
      <sz val="11"/>
      <color rgb="FF222222"/>
      <name val="Aptos Narrow"/>
      <family val="2"/>
      <scheme val="minor"/>
    </font>
    <font>
      <b/>
      <sz val="11"/>
      <color theme="1"/>
      <name val="Calibri"/>
      <family val="2"/>
    </font>
    <font>
      <sz val="11"/>
      <color rgb="FF000000"/>
      <name val="Aptos Narrow"/>
      <family val="2"/>
      <scheme val="minor"/>
    </font>
    <font>
      <b/>
      <sz val="14"/>
      <color theme="1"/>
      <name val="Calibri"/>
      <family val="2"/>
    </font>
    <font>
      <sz val="8"/>
      <name val="Aptos Narrow"/>
      <family val="2"/>
      <scheme val="minor"/>
    </font>
    <font>
      <b/>
      <sz val="11"/>
      <name val="Calibri"/>
      <family val="2"/>
    </font>
    <font>
      <sz val="11"/>
      <name val="Calibri"/>
      <family val="2"/>
    </font>
    <font>
      <b/>
      <sz val="20"/>
      <color theme="1"/>
      <name val="Aptos Narrow"/>
      <family val="2"/>
      <scheme val="minor"/>
    </font>
    <font>
      <b/>
      <sz val="14"/>
      <color theme="1"/>
      <name val="Aptos Narrow"/>
      <family val="2"/>
      <scheme val="minor"/>
    </font>
    <font>
      <sz val="24"/>
      <color theme="1"/>
      <name val="Aptos Narrow"/>
      <family val="2"/>
      <scheme val="minor"/>
    </font>
    <font>
      <b/>
      <sz val="16"/>
      <color theme="1"/>
      <name val="Aptos Narrow"/>
      <family val="2"/>
      <scheme val="minor"/>
    </font>
    <font>
      <sz val="12"/>
      <color theme="1"/>
      <name val="Aptos Narrow"/>
      <family val="2"/>
      <scheme val="minor"/>
    </font>
    <font>
      <sz val="11"/>
      <color theme="0"/>
      <name val="Aptos Narrow"/>
      <family val="2"/>
      <scheme val="minor"/>
    </font>
    <font>
      <sz val="16"/>
      <color theme="1"/>
      <name val="Aptos Narrow"/>
      <family val="2"/>
      <scheme val="minor"/>
    </font>
    <font>
      <sz val="16"/>
      <color theme="6"/>
      <name val="Aptos Narrow"/>
      <family val="2"/>
      <scheme val="minor"/>
    </font>
    <font>
      <sz val="16"/>
      <color rgb="FFFF0000"/>
      <name val="Aptos Narrow"/>
      <family val="2"/>
      <scheme val="minor"/>
    </font>
    <font>
      <sz val="11"/>
      <color theme="4"/>
      <name val="Aptos Narrow"/>
      <family val="2"/>
      <scheme val="minor"/>
    </font>
    <font>
      <b/>
      <sz val="12"/>
      <color theme="1"/>
      <name val="Aptos Narrow"/>
      <family val="2"/>
      <scheme val="minor"/>
    </font>
    <font>
      <sz val="20"/>
      <color theme="1"/>
      <name val="Aptos Narrow"/>
      <family val="2"/>
      <scheme val="minor"/>
    </font>
    <font>
      <sz val="14"/>
      <color theme="1"/>
      <name val="Aptos Narrow"/>
      <family val="2"/>
      <scheme val="minor"/>
    </font>
    <font>
      <u/>
      <sz val="14"/>
      <color theme="1"/>
      <name val="Aptos Narrow"/>
      <family val="2"/>
      <scheme val="minor"/>
    </font>
    <font>
      <i/>
      <sz val="14"/>
      <color theme="1"/>
      <name val="Aptos Narrow"/>
      <family val="2"/>
      <scheme val="minor"/>
    </font>
    <font>
      <sz val="13.5"/>
      <color theme="1"/>
      <name val="Aptos Narrow"/>
      <family val="2"/>
      <scheme val="minor"/>
    </font>
    <font>
      <b/>
      <sz val="13.5"/>
      <color theme="1"/>
      <name val="Aptos Narrow"/>
      <family val="2"/>
      <scheme val="minor"/>
    </font>
    <font>
      <u/>
      <sz val="13.5"/>
      <color theme="1"/>
      <name val="Aptos Narrow"/>
      <family val="2"/>
      <scheme val="minor"/>
    </font>
  </fonts>
  <fills count="15">
    <fill>
      <patternFill patternType="none"/>
    </fill>
    <fill>
      <patternFill patternType="gray125"/>
    </fill>
    <fill>
      <patternFill patternType="solid">
        <fgColor theme="9" tint="0.79998168889431442"/>
        <bgColor indexed="64"/>
      </patternFill>
    </fill>
    <fill>
      <patternFill patternType="solid">
        <fgColor rgb="FF000000"/>
        <bgColor rgb="FF000000"/>
      </patternFill>
    </fill>
    <fill>
      <patternFill patternType="solid">
        <fgColor theme="5" tint="0.59999389629810485"/>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theme="1"/>
        <bgColor indexed="64"/>
      </patternFill>
    </fill>
    <fill>
      <patternFill patternType="solid">
        <fgColor theme="5" tint="0.39997558519241921"/>
        <bgColor indexed="64"/>
      </patternFill>
    </fill>
    <fill>
      <patternFill patternType="solid">
        <fgColor theme="0"/>
        <bgColor indexed="64"/>
      </patternFill>
    </fill>
    <fill>
      <patternFill patternType="solid">
        <fgColor rgb="FFC00000"/>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
      <patternFill patternType="solid">
        <fgColor rgb="FFFFFF00"/>
        <bgColor indexed="64"/>
      </patternFill>
    </fill>
  </fills>
  <borders count="40">
    <border>
      <left/>
      <right/>
      <top/>
      <bottom/>
      <diagonal/>
    </border>
    <border>
      <left/>
      <right/>
      <top/>
      <bottom style="medium">
        <color indexed="64"/>
      </bottom>
      <diagonal/>
    </border>
    <border>
      <left/>
      <right/>
      <top/>
      <bottom style="double">
        <color indexed="64"/>
      </bottom>
      <diagonal/>
    </border>
    <border>
      <left/>
      <right/>
      <top/>
      <bottom style="thin">
        <color indexed="64"/>
      </bottom>
      <diagonal/>
    </border>
    <border>
      <left/>
      <right/>
      <top style="thin">
        <color indexed="64"/>
      </top>
      <bottom style="double">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double">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double">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s>
  <cellStyleXfs count="4">
    <xf numFmtId="0" fontId="0" fillId="0" borderId="0"/>
    <xf numFmtId="0" fontId="2" fillId="0" borderId="0" applyNumberFormat="0" applyFill="0" applyBorder="0" applyAlignment="0" applyProtection="0"/>
    <xf numFmtId="44" fontId="8" fillId="0" borderId="0" applyFont="0" applyFill="0" applyBorder="0" applyAlignment="0" applyProtection="0"/>
    <xf numFmtId="9" fontId="8" fillId="0" borderId="0" applyFont="0" applyFill="0" applyBorder="0" applyAlignment="0" applyProtection="0"/>
  </cellStyleXfs>
  <cellXfs count="430">
    <xf numFmtId="0" fontId="0" fillId="0" borderId="0" xfId="0"/>
    <xf numFmtId="0" fontId="2" fillId="0" borderId="0" xfId="1"/>
    <xf numFmtId="0" fontId="1" fillId="0" borderId="0" xfId="0" applyFont="1"/>
    <xf numFmtId="0" fontId="3" fillId="0" borderId="0" xfId="0" applyFont="1" applyAlignment="1">
      <alignment vertical="center"/>
    </xf>
    <xf numFmtId="0" fontId="3" fillId="0" borderId="1" xfId="0" applyFont="1" applyBorder="1" applyAlignment="1">
      <alignment horizontal="right" wrapText="1"/>
    </xf>
    <xf numFmtId="0" fontId="3" fillId="0" borderId="1" xfId="0" applyFont="1" applyBorder="1" applyAlignment="1">
      <alignment horizontal="center" wrapText="1"/>
    </xf>
    <xf numFmtId="0" fontId="3" fillId="0" borderId="4" xfId="0" applyFont="1" applyBorder="1" applyAlignment="1">
      <alignment horizontal="center" vertical="center"/>
    </xf>
    <xf numFmtId="0" fontId="3" fillId="0" borderId="4" xfId="0" applyFont="1" applyBorder="1" applyAlignment="1">
      <alignment vertical="center"/>
    </xf>
    <xf numFmtId="8" fontId="3" fillId="0" borderId="4" xfId="0" applyNumberFormat="1" applyFont="1" applyBorder="1" applyAlignment="1">
      <alignment vertical="center"/>
    </xf>
    <xf numFmtId="0" fontId="7" fillId="0" borderId="0" xfId="0" applyFont="1" applyAlignment="1">
      <alignment vertical="center"/>
    </xf>
    <xf numFmtId="9" fontId="7" fillId="0" borderId="0" xfId="0" applyNumberFormat="1" applyFont="1" applyAlignment="1">
      <alignment vertical="center"/>
    </xf>
    <xf numFmtId="8" fontId="7" fillId="0" borderId="0" xfId="0" applyNumberFormat="1" applyFont="1" applyAlignment="1">
      <alignment vertical="center"/>
    </xf>
    <xf numFmtId="9" fontId="7" fillId="0" borderId="0" xfId="0" applyNumberFormat="1" applyFont="1" applyAlignment="1">
      <alignment horizontal="right" vertical="center"/>
    </xf>
    <xf numFmtId="0" fontId="7" fillId="0" borderId="0" xfId="0" applyFont="1" applyAlignment="1">
      <alignment horizontal="right" vertical="center"/>
    </xf>
    <xf numFmtId="0" fontId="3" fillId="0" borderId="0" xfId="0" applyFont="1" applyAlignment="1">
      <alignment horizontal="center" vertical="center"/>
    </xf>
    <xf numFmtId="8" fontId="3" fillId="0" borderId="0" xfId="0" applyNumberFormat="1" applyFont="1" applyAlignment="1">
      <alignment vertical="center"/>
    </xf>
    <xf numFmtId="8" fontId="6" fillId="0" borderId="0" xfId="0" applyNumberFormat="1" applyFont="1" applyAlignment="1">
      <alignment vertical="center"/>
    </xf>
    <xf numFmtId="0" fontId="5" fillId="0" borderId="0" xfId="0" applyFont="1" applyAlignment="1">
      <alignment vertical="center"/>
    </xf>
    <xf numFmtId="0" fontId="5" fillId="0" borderId="0" xfId="0" applyFont="1" applyAlignment="1">
      <alignment horizontal="center" vertical="center"/>
    </xf>
    <xf numFmtId="0" fontId="4" fillId="0" borderId="5" xfId="0" applyFont="1" applyBorder="1" applyAlignment="1">
      <alignment vertical="center"/>
    </xf>
    <xf numFmtId="0" fontId="3" fillId="0" borderId="6" xfId="0" applyFont="1" applyBorder="1" applyAlignment="1">
      <alignment vertical="center"/>
    </xf>
    <xf numFmtId="0" fontId="5" fillId="3" borderId="5" xfId="0" applyFont="1" applyFill="1" applyBorder="1" applyAlignment="1">
      <alignment vertical="center"/>
    </xf>
    <xf numFmtId="0" fontId="3" fillId="3" borderId="0" xfId="0" applyFont="1" applyFill="1" applyAlignment="1">
      <alignment horizontal="center" vertical="center"/>
    </xf>
    <xf numFmtId="0" fontId="3" fillId="3" borderId="0" xfId="0" applyFont="1" applyFill="1" applyAlignment="1">
      <alignment vertical="center"/>
    </xf>
    <xf numFmtId="0" fontId="3" fillId="3" borderId="6" xfId="0" applyFont="1" applyFill="1" applyBorder="1" applyAlignment="1">
      <alignment vertical="center"/>
    </xf>
    <xf numFmtId="0" fontId="3" fillId="0" borderId="5" xfId="0" applyFont="1" applyBorder="1" applyAlignment="1">
      <alignment vertical="center"/>
    </xf>
    <xf numFmtId="0" fontId="3" fillId="0" borderId="10" xfId="0" applyFont="1" applyBorder="1" applyAlignment="1">
      <alignment horizontal="left" vertical="center" indent="2"/>
    </xf>
    <xf numFmtId="0" fontId="4" fillId="0" borderId="14" xfId="0" applyFont="1" applyBorder="1" applyAlignment="1">
      <alignment vertical="center"/>
    </xf>
    <xf numFmtId="0" fontId="3" fillId="0" borderId="5" xfId="0" applyFont="1" applyBorder="1" applyAlignment="1">
      <alignment horizontal="left" vertical="center"/>
    </xf>
    <xf numFmtId="0" fontId="3" fillId="0" borderId="9" xfId="0" applyFont="1" applyBorder="1" applyAlignment="1">
      <alignment horizontal="left" vertical="center"/>
    </xf>
    <xf numFmtId="164" fontId="3" fillId="0" borderId="0" xfId="0" applyNumberFormat="1" applyFont="1" applyAlignment="1">
      <alignment vertical="center"/>
    </xf>
    <xf numFmtId="164" fontId="0" fillId="0" borderId="0" xfId="0" applyNumberFormat="1"/>
    <xf numFmtId="164" fontId="0" fillId="0" borderId="0" xfId="0" applyNumberFormat="1" applyAlignment="1">
      <alignment horizontal="center"/>
    </xf>
    <xf numFmtId="0" fontId="0" fillId="0" borderId="5" xfId="0" applyBorder="1"/>
    <xf numFmtId="8" fontId="0" fillId="0" borderId="0" xfId="0" applyNumberFormat="1"/>
    <xf numFmtId="0" fontId="3" fillId="5" borderId="5" xfId="0" applyFont="1" applyFill="1" applyBorder="1" applyAlignment="1">
      <alignment vertical="center"/>
    </xf>
    <xf numFmtId="0" fontId="3" fillId="5" borderId="5" xfId="0" applyFont="1" applyFill="1" applyBorder="1" applyAlignment="1">
      <alignment horizontal="left" vertical="center" indent="2"/>
    </xf>
    <xf numFmtId="164" fontId="3" fillId="0" borderId="4" xfId="0" applyNumberFormat="1" applyFont="1" applyBorder="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3" fillId="5" borderId="0" xfId="0" applyFont="1" applyFill="1" applyAlignment="1">
      <alignment vertical="center"/>
    </xf>
    <xf numFmtId="0" fontId="3" fillId="5" borderId="0" xfId="0" applyFont="1" applyFill="1" applyAlignment="1">
      <alignment horizontal="center" vertical="center"/>
    </xf>
    <xf numFmtId="164" fontId="3" fillId="5" borderId="0" xfId="0" applyNumberFormat="1" applyFont="1" applyFill="1" applyAlignment="1">
      <alignment vertical="center"/>
    </xf>
    <xf numFmtId="0" fontId="0" fillId="5" borderId="0" xfId="0" applyFill="1"/>
    <xf numFmtId="0" fontId="0" fillId="5" borderId="6" xfId="0" applyFill="1" applyBorder="1"/>
    <xf numFmtId="8" fontId="3" fillId="5" borderId="0" xfId="0" applyNumberFormat="1" applyFont="1" applyFill="1" applyAlignment="1">
      <alignment vertical="center"/>
    </xf>
    <xf numFmtId="8" fontId="3" fillId="5" borderId="6" xfId="0" applyNumberFormat="1" applyFont="1" applyFill="1" applyBorder="1" applyAlignment="1">
      <alignment vertical="center"/>
    </xf>
    <xf numFmtId="0" fontId="3" fillId="5" borderId="6" xfId="0" applyFont="1" applyFill="1" applyBorder="1" applyAlignment="1">
      <alignment vertical="center"/>
    </xf>
    <xf numFmtId="8" fontId="3" fillId="0" borderId="6" xfId="0" applyNumberFormat="1" applyFont="1" applyBorder="1" applyAlignment="1">
      <alignment vertical="center"/>
    </xf>
    <xf numFmtId="0" fontId="3" fillId="0" borderId="9" xfId="0" applyFont="1" applyBorder="1" applyAlignment="1">
      <alignment vertical="center"/>
    </xf>
    <xf numFmtId="0" fontId="3" fillId="0" borderId="7" xfId="0" applyFont="1" applyBorder="1" applyAlignment="1">
      <alignment horizontal="center"/>
    </xf>
    <xf numFmtId="0" fontId="3" fillId="0" borderId="1" xfId="0" applyFont="1" applyBorder="1" applyAlignment="1">
      <alignment wrapText="1"/>
    </xf>
    <xf numFmtId="0" fontId="0" fillId="0" borderId="1" xfId="0" applyBorder="1" applyAlignment="1">
      <alignment horizontal="center" wrapText="1"/>
    </xf>
    <xf numFmtId="0" fontId="0" fillId="0" borderId="8" xfId="0" applyBorder="1" applyAlignment="1">
      <alignment horizontal="center" wrapText="1"/>
    </xf>
    <xf numFmtId="164" fontId="3" fillId="0" borderId="0" xfId="0" applyNumberFormat="1" applyFont="1" applyAlignment="1">
      <alignment horizontal="right" vertical="center"/>
    </xf>
    <xf numFmtId="164" fontId="6" fillId="0" borderId="4" xfId="0" applyNumberFormat="1" applyFont="1" applyBorder="1" applyAlignment="1">
      <alignment horizontal="center" vertical="center"/>
    </xf>
    <xf numFmtId="0" fontId="0" fillId="0" borderId="0" xfId="0" applyAlignment="1">
      <alignment vertical="center"/>
    </xf>
    <xf numFmtId="0" fontId="0" fillId="0" borderId="0" xfId="0" applyAlignment="1">
      <alignment vertical="center" wrapText="1"/>
    </xf>
    <xf numFmtId="8" fontId="6" fillId="0" borderId="11" xfId="0" applyNumberFormat="1" applyFont="1" applyBorder="1" applyAlignment="1">
      <alignment vertical="center"/>
    </xf>
    <xf numFmtId="0" fontId="3" fillId="0" borderId="2" xfId="0" applyFont="1" applyBorder="1" applyAlignment="1">
      <alignment horizontal="center" vertical="center"/>
    </xf>
    <xf numFmtId="0" fontId="3" fillId="0" borderId="2" xfId="0" applyFont="1" applyBorder="1" applyAlignment="1">
      <alignment vertical="center"/>
    </xf>
    <xf numFmtId="8" fontId="3" fillId="0" borderId="2" xfId="0" applyNumberFormat="1" applyFont="1" applyBorder="1" applyAlignment="1">
      <alignment vertical="center"/>
    </xf>
    <xf numFmtId="164" fontId="6" fillId="0" borderId="2" xfId="0" applyNumberFormat="1" applyFont="1" applyBorder="1" applyAlignment="1">
      <alignment vertical="center"/>
    </xf>
    <xf numFmtId="164" fontId="3" fillId="0" borderId="4" xfId="0" applyNumberFormat="1" applyFont="1" applyBorder="1" applyAlignment="1">
      <alignment vertical="center"/>
    </xf>
    <xf numFmtId="0" fontId="3" fillId="0" borderId="3" xfId="0" applyFont="1" applyBorder="1" applyAlignment="1">
      <alignment horizontal="center" vertical="center"/>
    </xf>
    <xf numFmtId="164" fontId="3" fillId="0" borderId="3" xfId="0" applyNumberFormat="1" applyFont="1" applyBorder="1" applyAlignment="1">
      <alignment vertical="center"/>
    </xf>
    <xf numFmtId="8" fontId="3" fillId="0" borderId="18" xfId="0" applyNumberFormat="1" applyFont="1" applyBorder="1" applyAlignment="1">
      <alignment vertical="center"/>
    </xf>
    <xf numFmtId="0" fontId="3" fillId="0" borderId="17" xfId="0" applyFont="1" applyBorder="1" applyAlignment="1">
      <alignment horizontal="center" vertical="center"/>
    </xf>
    <xf numFmtId="0" fontId="3" fillId="0" borderId="10" xfId="0" applyFont="1" applyBorder="1" applyAlignment="1">
      <alignment horizontal="center" vertical="center"/>
    </xf>
    <xf numFmtId="164" fontId="3" fillId="0" borderId="6" xfId="0" applyNumberFormat="1" applyFont="1" applyBorder="1" applyAlignment="1">
      <alignment vertical="center"/>
    </xf>
    <xf numFmtId="0" fontId="10" fillId="6" borderId="1" xfId="0" applyFont="1" applyFill="1" applyBorder="1"/>
    <xf numFmtId="6" fontId="0" fillId="0" borderId="0" xfId="0" applyNumberFormat="1" applyAlignment="1">
      <alignment horizontal="center"/>
    </xf>
    <xf numFmtId="0" fontId="13" fillId="0" borderId="0" xfId="0" applyFont="1" applyAlignment="1">
      <alignment vertical="center" wrapText="1"/>
    </xf>
    <xf numFmtId="0" fontId="14" fillId="0" borderId="0" xfId="0" applyFont="1" applyAlignment="1">
      <alignment vertical="center" wrapText="1"/>
    </xf>
    <xf numFmtId="0" fontId="12" fillId="0" borderId="0" xfId="0" applyFont="1" applyAlignment="1">
      <alignment vertical="center" wrapText="1"/>
    </xf>
    <xf numFmtId="0" fontId="0" fillId="0" borderId="14" xfId="0" applyBorder="1" applyAlignment="1">
      <alignment horizontal="center" wrapText="1"/>
    </xf>
    <xf numFmtId="0" fontId="0" fillId="0" borderId="15" xfId="0" applyBorder="1" applyAlignment="1">
      <alignment horizontal="center" wrapText="1"/>
    </xf>
    <xf numFmtId="164" fontId="3" fillId="0" borderId="0" xfId="2" applyNumberFormat="1" applyFont="1" applyBorder="1" applyAlignment="1">
      <alignment horizontal="right" vertical="center"/>
    </xf>
    <xf numFmtId="164" fontId="3" fillId="0" borderId="3" xfId="2" applyNumberFormat="1" applyFont="1" applyBorder="1" applyAlignment="1">
      <alignment horizontal="right" vertical="center"/>
    </xf>
    <xf numFmtId="164" fontId="9" fillId="0" borderId="6" xfId="0" applyNumberFormat="1" applyFont="1" applyBorder="1"/>
    <xf numFmtId="164" fontId="9" fillId="0" borderId="0" xfId="0" applyNumberFormat="1" applyFont="1" applyAlignment="1">
      <alignment horizontal="right"/>
    </xf>
    <xf numFmtId="0" fontId="9" fillId="5" borderId="6" xfId="0" applyFont="1" applyFill="1" applyBorder="1"/>
    <xf numFmtId="0" fontId="9" fillId="0" borderId="5" xfId="0" applyFont="1" applyBorder="1"/>
    <xf numFmtId="8" fontId="9" fillId="0" borderId="6" xfId="0" applyNumberFormat="1" applyFont="1" applyBorder="1"/>
    <xf numFmtId="0" fontId="9" fillId="6" borderId="1" xfId="0" applyFont="1" applyFill="1" applyBorder="1"/>
    <xf numFmtId="8" fontId="15" fillId="6" borderId="8" xfId="0" applyNumberFormat="1" applyFont="1" applyFill="1" applyBorder="1"/>
    <xf numFmtId="8" fontId="3" fillId="0" borderId="6" xfId="0" applyNumberFormat="1" applyFont="1" applyBorder="1" applyAlignment="1">
      <alignment vertical="center" wrapText="1"/>
    </xf>
    <xf numFmtId="8" fontId="9" fillId="0" borderId="6" xfId="0" applyNumberFormat="1" applyFont="1" applyBorder="1" applyAlignment="1">
      <alignment wrapText="1"/>
    </xf>
    <xf numFmtId="8" fontId="6" fillId="0" borderId="11" xfId="0" applyNumberFormat="1" applyFont="1" applyBorder="1" applyAlignment="1">
      <alignment vertical="center" wrapText="1"/>
    </xf>
    <xf numFmtId="0" fontId="11" fillId="6" borderId="7" xfId="0" applyFont="1" applyFill="1" applyBorder="1"/>
    <xf numFmtId="0" fontId="4" fillId="0" borderId="0" xfId="0" applyFont="1" applyAlignment="1">
      <alignment vertical="center"/>
    </xf>
    <xf numFmtId="0" fontId="3" fillId="0" borderId="0" xfId="0" applyFont="1" applyAlignment="1">
      <alignment horizontal="center" wrapText="1"/>
    </xf>
    <xf numFmtId="0" fontId="3" fillId="0" borderId="0" xfId="0" applyFont="1" applyAlignment="1">
      <alignment horizontal="right" wrapText="1"/>
    </xf>
    <xf numFmtId="0" fontId="3" fillId="0" borderId="0" xfId="0" applyFont="1" applyAlignment="1">
      <alignment horizontal="left" vertical="center" indent="2"/>
    </xf>
    <xf numFmtId="0" fontId="3" fillId="0" borderId="0" xfId="0" applyFont="1" applyAlignment="1">
      <alignment horizontal="left" vertical="center"/>
    </xf>
    <xf numFmtId="0" fontId="1" fillId="6" borderId="7" xfId="0" applyFont="1" applyFill="1" applyBorder="1"/>
    <xf numFmtId="0" fontId="0" fillId="6" borderId="1" xfId="0" applyFill="1" applyBorder="1"/>
    <xf numFmtId="0" fontId="9" fillId="0" borderId="0" xfId="0" applyFont="1" applyAlignment="1">
      <alignment horizontal="center"/>
    </xf>
    <xf numFmtId="8" fontId="3" fillId="0" borderId="0" xfId="0" applyNumberFormat="1" applyFont="1" applyAlignment="1">
      <alignment horizontal="center" vertical="center"/>
    </xf>
    <xf numFmtId="164" fontId="3" fillId="0" borderId="0" xfId="0" applyNumberFormat="1" applyFont="1" applyAlignment="1">
      <alignment horizontal="right" vertical="center" wrapText="1"/>
    </xf>
    <xf numFmtId="164" fontId="3" fillId="0" borderId="6" xfId="0" applyNumberFormat="1" applyFont="1" applyBorder="1" applyAlignment="1">
      <alignment horizontal="right" vertical="center"/>
    </xf>
    <xf numFmtId="0" fontId="9" fillId="6" borderId="2" xfId="0" applyFont="1" applyFill="1" applyBorder="1"/>
    <xf numFmtId="0" fontId="9" fillId="6" borderId="17" xfId="0" applyFont="1" applyFill="1" applyBorder="1"/>
    <xf numFmtId="8" fontId="9" fillId="6" borderId="20" xfId="0" applyNumberFormat="1" applyFont="1" applyFill="1" applyBorder="1"/>
    <xf numFmtId="164" fontId="9" fillId="0" borderId="0" xfId="0" applyNumberFormat="1" applyFont="1"/>
    <xf numFmtId="0" fontId="3" fillId="0" borderId="0" xfId="0" applyFont="1" applyAlignment="1">
      <alignment horizontal="center"/>
    </xf>
    <xf numFmtId="0" fontId="3" fillId="0" borderId="0" xfId="0" applyFont="1" applyAlignment="1">
      <alignment wrapText="1"/>
    </xf>
    <xf numFmtId="0" fontId="0" fillId="0" borderId="0" xfId="0" applyAlignment="1">
      <alignment horizontal="center" wrapText="1"/>
    </xf>
    <xf numFmtId="0" fontId="9" fillId="0" borderId="0" xfId="0" applyFont="1"/>
    <xf numFmtId="8" fontId="3" fillId="0" borderId="0" xfId="0" applyNumberFormat="1" applyFont="1" applyAlignment="1">
      <alignment horizontal="right" vertical="center" wrapText="1"/>
    </xf>
    <xf numFmtId="8" fontId="3" fillId="0" borderId="0" xfId="0" applyNumberFormat="1" applyFont="1" applyAlignment="1">
      <alignment vertical="center" wrapText="1"/>
    </xf>
    <xf numFmtId="0" fontId="15" fillId="0" borderId="0" xfId="0" applyFont="1"/>
    <xf numFmtId="8" fontId="15" fillId="0" borderId="0" xfId="0" applyNumberFormat="1" applyFont="1"/>
    <xf numFmtId="8" fontId="9" fillId="0" borderId="0" xfId="0" applyNumberFormat="1" applyFont="1" applyAlignment="1">
      <alignment wrapText="1"/>
    </xf>
    <xf numFmtId="8" fontId="6" fillId="0" borderId="0" xfId="0" applyNumberFormat="1" applyFont="1" applyAlignment="1">
      <alignment vertical="center" wrapText="1"/>
    </xf>
    <xf numFmtId="164" fontId="6" fillId="0" borderId="0" xfId="0" applyNumberFormat="1" applyFont="1" applyAlignment="1">
      <alignment vertical="center"/>
    </xf>
    <xf numFmtId="164" fontId="9" fillId="0" borderId="0" xfId="0" applyNumberFormat="1" applyFont="1" applyAlignment="1">
      <alignment horizontal="right" wrapText="1"/>
    </xf>
    <xf numFmtId="164" fontId="3" fillId="0" borderId="0" xfId="0" applyNumberFormat="1" applyFont="1" applyAlignment="1">
      <alignment horizontal="center" vertical="center"/>
    </xf>
    <xf numFmtId="1" fontId="3" fillId="0" borderId="0" xfId="0" applyNumberFormat="1" applyFont="1" applyAlignment="1">
      <alignment horizontal="center" vertical="center"/>
    </xf>
    <xf numFmtId="8" fontId="11" fillId="6" borderId="8" xfId="0" applyNumberFormat="1" applyFont="1" applyFill="1" applyBorder="1"/>
    <xf numFmtId="165" fontId="0" fillId="0" borderId="0" xfId="0" applyNumberFormat="1"/>
    <xf numFmtId="2" fontId="0" fillId="0" borderId="0" xfId="0" applyNumberFormat="1"/>
    <xf numFmtId="6" fontId="9" fillId="0" borderId="0" xfId="0" applyNumberFormat="1" applyFont="1"/>
    <xf numFmtId="8" fontId="1" fillId="6" borderId="8" xfId="0" applyNumberFormat="1" applyFont="1" applyFill="1" applyBorder="1"/>
    <xf numFmtId="3" fontId="0" fillId="0" borderId="0" xfId="0" applyNumberFormat="1"/>
    <xf numFmtId="0" fontId="0" fillId="0" borderId="0" xfId="0" applyAlignment="1">
      <alignment horizontal="right"/>
    </xf>
    <xf numFmtId="4" fontId="0" fillId="0" borderId="0" xfId="0" applyNumberFormat="1"/>
    <xf numFmtId="3" fontId="9" fillId="0" borderId="0" xfId="0" applyNumberFormat="1" applyFont="1" applyAlignment="1">
      <alignment horizontal="center"/>
    </xf>
    <xf numFmtId="1" fontId="0" fillId="0" borderId="0" xfId="0" applyNumberFormat="1"/>
    <xf numFmtId="0" fontId="1" fillId="0" borderId="0" xfId="0" applyFont="1" applyAlignment="1">
      <alignment horizontal="center"/>
    </xf>
    <xf numFmtId="164" fontId="3" fillId="0" borderId="0" xfId="2" applyNumberFormat="1" applyFont="1" applyFill="1" applyBorder="1" applyAlignment="1">
      <alignment horizontal="right" vertical="center"/>
    </xf>
    <xf numFmtId="164" fontId="3" fillId="0" borderId="3" xfId="2" applyNumberFormat="1" applyFont="1" applyFill="1" applyBorder="1" applyAlignment="1">
      <alignment horizontal="right" vertical="center"/>
    </xf>
    <xf numFmtId="0" fontId="3" fillId="0" borderId="0" xfId="0" applyFont="1" applyAlignment="1">
      <alignment horizontal="right" vertical="center"/>
    </xf>
    <xf numFmtId="0" fontId="9" fillId="5" borderId="0" xfId="0" applyFont="1" applyFill="1"/>
    <xf numFmtId="8" fontId="6" fillId="0" borderId="20" xfId="0" applyNumberFormat="1" applyFont="1" applyBorder="1" applyAlignment="1">
      <alignment vertical="center"/>
    </xf>
    <xf numFmtId="164" fontId="3" fillId="0" borderId="0" xfId="2" applyNumberFormat="1" applyFont="1" applyBorder="1" applyAlignment="1">
      <alignment horizontal="center" vertical="center"/>
    </xf>
    <xf numFmtId="164" fontId="3" fillId="0" borderId="6" xfId="2" applyNumberFormat="1" applyFont="1" applyBorder="1" applyAlignment="1">
      <alignment horizontal="right" vertical="center"/>
    </xf>
    <xf numFmtId="0" fontId="9" fillId="0" borderId="15" xfId="0" applyFont="1" applyBorder="1" applyAlignment="1">
      <alignment horizontal="center" wrapText="1"/>
    </xf>
    <xf numFmtId="0" fontId="9" fillId="0" borderId="14" xfId="0" applyFont="1" applyBorder="1" applyAlignment="1">
      <alignment horizontal="center" wrapText="1"/>
    </xf>
    <xf numFmtId="0" fontId="19" fillId="6" borderId="7" xfId="0" applyFont="1" applyFill="1" applyBorder="1"/>
    <xf numFmtId="0" fontId="20" fillId="6" borderId="1" xfId="0" applyFont="1" applyFill="1" applyBorder="1"/>
    <xf numFmtId="0" fontId="9" fillId="0" borderId="3" xfId="0" applyFont="1" applyBorder="1" applyAlignment="1">
      <alignment horizontal="center"/>
    </xf>
    <xf numFmtId="164" fontId="9" fillId="0" borderId="3" xfId="0" applyNumberFormat="1" applyFont="1" applyBorder="1" applyAlignment="1">
      <alignment horizontal="right"/>
    </xf>
    <xf numFmtId="164" fontId="9" fillId="0" borderId="18" xfId="0" applyNumberFormat="1" applyFont="1" applyBorder="1"/>
    <xf numFmtId="0" fontId="0" fillId="0" borderId="0" xfId="0" applyAlignment="1">
      <alignment horizontal="left"/>
    </xf>
    <xf numFmtId="0" fontId="0" fillId="0" borderId="0" xfId="0" applyAlignment="1">
      <alignment horizontal="center"/>
    </xf>
    <xf numFmtId="0" fontId="11" fillId="0" borderId="0" xfId="0" applyFont="1"/>
    <xf numFmtId="0" fontId="10" fillId="0" borderId="0" xfId="0" applyFont="1"/>
    <xf numFmtId="8" fontId="11" fillId="0" borderId="0" xfId="0" applyNumberFormat="1" applyFont="1"/>
    <xf numFmtId="164" fontId="9" fillId="0" borderId="3" xfId="0" applyNumberFormat="1" applyFont="1" applyBorder="1" applyAlignment="1">
      <alignment horizontal="center"/>
    </xf>
    <xf numFmtId="0" fontId="0" fillId="0" borderId="3" xfId="0" applyBorder="1"/>
    <xf numFmtId="164" fontId="6" fillId="0" borderId="4" xfId="0" applyNumberFormat="1" applyFont="1" applyBorder="1" applyAlignment="1">
      <alignment horizontal="right" vertical="center"/>
    </xf>
    <xf numFmtId="8" fontId="0" fillId="0" borderId="6" xfId="0" applyNumberFormat="1" applyBorder="1" applyAlignment="1">
      <alignment wrapText="1"/>
    </xf>
    <xf numFmtId="164" fontId="9" fillId="0" borderId="3" xfId="0" applyNumberFormat="1" applyFont="1" applyBorder="1"/>
    <xf numFmtId="0" fontId="9" fillId="6" borderId="21" xfId="0" applyFont="1" applyFill="1" applyBorder="1"/>
    <xf numFmtId="0" fontId="15" fillId="4" borderId="7" xfId="0" applyFont="1" applyFill="1" applyBorder="1"/>
    <xf numFmtId="0" fontId="9" fillId="4" borderId="1" xfId="0" applyFont="1" applyFill="1" applyBorder="1"/>
    <xf numFmtId="0" fontId="0" fillId="7" borderId="0" xfId="0" applyFill="1"/>
    <xf numFmtId="6" fontId="9" fillId="0" borderId="0" xfId="0" applyNumberFormat="1" applyFont="1" applyAlignment="1">
      <alignment wrapText="1"/>
    </xf>
    <xf numFmtId="6" fontId="3" fillId="0" borderId="0" xfId="0" applyNumberFormat="1" applyFont="1" applyAlignment="1">
      <alignment horizontal="right" vertical="center" wrapText="1"/>
    </xf>
    <xf numFmtId="6" fontId="9" fillId="0" borderId="0" xfId="0" applyNumberFormat="1" applyFont="1" applyAlignment="1">
      <alignment horizontal="right" wrapText="1"/>
    </xf>
    <xf numFmtId="0" fontId="9" fillId="0" borderId="9" xfId="0" applyFont="1" applyBorder="1"/>
    <xf numFmtId="6" fontId="9" fillId="0" borderId="6" xfId="0" applyNumberFormat="1" applyFont="1" applyBorder="1"/>
    <xf numFmtId="0" fontId="22" fillId="0" borderId="0" xfId="0" applyFont="1"/>
    <xf numFmtId="0" fontId="0" fillId="5" borderId="19" xfId="0" applyFill="1" applyBorder="1" applyAlignment="1">
      <alignment horizontal="center"/>
    </xf>
    <xf numFmtId="0" fontId="0" fillId="0" borderId="0" xfId="0" applyProtection="1">
      <protection locked="0"/>
    </xf>
    <xf numFmtId="0" fontId="0" fillId="5" borderId="19" xfId="0" applyFill="1" applyBorder="1"/>
    <xf numFmtId="0" fontId="0" fillId="5" borderId="19" xfId="0" applyFill="1" applyBorder="1" applyAlignment="1">
      <alignment horizontal="left"/>
    </xf>
    <xf numFmtId="0" fontId="4" fillId="0" borderId="0" xfId="0" applyFont="1" applyAlignment="1">
      <alignment vertical="center" wrapText="1"/>
    </xf>
    <xf numFmtId="164" fontId="6" fillId="0" borderId="0" xfId="0" applyNumberFormat="1" applyFont="1" applyAlignment="1">
      <alignment horizontal="center" vertical="center"/>
    </xf>
    <xf numFmtId="164" fontId="9" fillId="0" borderId="0" xfId="0" applyNumberFormat="1" applyFont="1" applyAlignment="1">
      <alignment horizontal="center"/>
    </xf>
    <xf numFmtId="0" fontId="9" fillId="0" borderId="0" xfId="0" applyFont="1" applyAlignment="1">
      <alignment horizontal="center" wrapText="1"/>
    </xf>
    <xf numFmtId="1" fontId="3" fillId="0" borderId="0" xfId="2" applyNumberFormat="1" applyFont="1" applyFill="1" applyBorder="1" applyAlignment="1">
      <alignment horizontal="right" vertical="center"/>
    </xf>
    <xf numFmtId="164" fontId="3" fillId="0" borderId="0" xfId="2" applyNumberFormat="1" applyFont="1" applyFill="1" applyBorder="1" applyAlignment="1">
      <alignment horizontal="center" vertical="center"/>
    </xf>
    <xf numFmtId="0" fontId="19" fillId="0" borderId="0" xfId="0" applyFont="1"/>
    <xf numFmtId="0" fontId="20" fillId="0" borderId="0" xfId="0" applyFont="1"/>
    <xf numFmtId="8" fontId="19" fillId="0" borderId="0" xfId="0" applyNumberFormat="1" applyFont="1"/>
    <xf numFmtId="0" fontId="4" fillId="0" borderId="12" xfId="0" applyFont="1" applyBorder="1" applyAlignment="1">
      <alignment vertical="center"/>
    </xf>
    <xf numFmtId="0" fontId="4" fillId="0" borderId="13" xfId="0" applyFont="1" applyBorder="1" applyAlignment="1">
      <alignment vertical="center"/>
    </xf>
    <xf numFmtId="0" fontId="0" fillId="5" borderId="19" xfId="0" applyFill="1" applyBorder="1" applyAlignment="1">
      <alignment horizontal="right"/>
    </xf>
    <xf numFmtId="0" fontId="0" fillId="9" borderId="19" xfId="0" applyFill="1" applyBorder="1"/>
    <xf numFmtId="0" fontId="0" fillId="9" borderId="19" xfId="0" applyFill="1" applyBorder="1" applyAlignment="1">
      <alignment horizontal="right"/>
    </xf>
    <xf numFmtId="3" fontId="0" fillId="9" borderId="19" xfId="0" applyNumberFormat="1" applyFill="1" applyBorder="1"/>
    <xf numFmtId="0" fontId="0" fillId="9" borderId="5" xfId="0" applyFill="1" applyBorder="1"/>
    <xf numFmtId="0" fontId="22" fillId="9" borderId="0" xfId="0" applyFont="1" applyFill="1"/>
    <xf numFmtId="0" fontId="0" fillId="9" borderId="0" xfId="0" applyFill="1"/>
    <xf numFmtId="0" fontId="0" fillId="9" borderId="6" xfId="0" applyFill="1" applyBorder="1"/>
    <xf numFmtId="0" fontId="3" fillId="9" borderId="0" xfId="0" applyFont="1" applyFill="1" applyAlignment="1">
      <alignment vertical="center"/>
    </xf>
    <xf numFmtId="0" fontId="3" fillId="9" borderId="6" xfId="0" applyFont="1" applyFill="1" applyBorder="1" applyAlignment="1">
      <alignment vertical="center"/>
    </xf>
    <xf numFmtId="0" fontId="5" fillId="9" borderId="0" xfId="0" applyFont="1" applyFill="1" applyAlignment="1">
      <alignment vertical="center"/>
    </xf>
    <xf numFmtId="0" fontId="3" fillId="9" borderId="0" xfId="0" applyFont="1" applyFill="1" applyAlignment="1">
      <alignment horizontal="center" vertical="center"/>
    </xf>
    <xf numFmtId="0" fontId="3" fillId="9" borderId="0" xfId="0" applyFont="1" applyFill="1" applyAlignment="1">
      <alignment horizontal="center" wrapText="1"/>
    </xf>
    <xf numFmtId="0" fontId="3" fillId="9" borderId="0" xfId="0" applyFont="1" applyFill="1" applyAlignment="1">
      <alignment horizontal="right" wrapText="1"/>
    </xf>
    <xf numFmtId="0" fontId="3" fillId="9" borderId="6" xfId="0" applyFont="1" applyFill="1" applyBorder="1" applyAlignment="1">
      <alignment horizontal="center" wrapText="1"/>
    </xf>
    <xf numFmtId="164" fontId="3" fillId="9" borderId="0" xfId="0" applyNumberFormat="1" applyFont="1" applyFill="1" applyAlignment="1">
      <alignment vertical="center"/>
    </xf>
    <xf numFmtId="0" fontId="3" fillId="9" borderId="6" xfId="0" applyFont="1" applyFill="1" applyBorder="1" applyAlignment="1">
      <alignment horizontal="center" vertical="center"/>
    </xf>
    <xf numFmtId="0" fontId="3" fillId="9" borderId="0" xfId="0" applyFont="1" applyFill="1" applyAlignment="1">
      <alignment horizontal="left" vertical="center" indent="2"/>
    </xf>
    <xf numFmtId="0" fontId="1" fillId="9" borderId="5" xfId="0" applyFont="1" applyFill="1" applyBorder="1"/>
    <xf numFmtId="164" fontId="0" fillId="9" borderId="0" xfId="0" applyNumberFormat="1" applyFill="1"/>
    <xf numFmtId="0" fontId="0" fillId="9" borderId="6" xfId="0" applyFill="1" applyBorder="1" applyAlignment="1">
      <alignment horizontal="center"/>
    </xf>
    <xf numFmtId="0" fontId="0" fillId="9" borderId="0" xfId="0" applyFill="1" applyAlignment="1">
      <alignment horizontal="center"/>
    </xf>
    <xf numFmtId="0" fontId="3" fillId="9" borderId="0" xfId="0" applyFont="1" applyFill="1" applyAlignment="1">
      <alignment horizontal="left" vertical="center"/>
    </xf>
    <xf numFmtId="6" fontId="3" fillId="0" borderId="0" xfId="0" applyNumberFormat="1" applyFont="1" applyAlignment="1">
      <alignment horizontal="center" vertical="center"/>
    </xf>
    <xf numFmtId="6" fontId="3" fillId="0" borderId="0" xfId="0" applyNumberFormat="1" applyFont="1" applyAlignment="1">
      <alignment vertical="center"/>
    </xf>
    <xf numFmtId="0" fontId="6" fillId="9" borderId="0" xfId="0" applyFont="1" applyFill="1" applyAlignment="1">
      <alignment vertical="center"/>
    </xf>
    <xf numFmtId="0" fontId="6" fillId="9" borderId="0" xfId="0" applyFont="1" applyFill="1" applyAlignment="1">
      <alignment horizontal="center" vertical="center"/>
    </xf>
    <xf numFmtId="0" fontId="6" fillId="9" borderId="6" xfId="0" applyFont="1" applyFill="1" applyBorder="1" applyAlignment="1">
      <alignment vertical="center"/>
    </xf>
    <xf numFmtId="0" fontId="0" fillId="9" borderId="7" xfId="0" applyFill="1" applyBorder="1"/>
    <xf numFmtId="0" fontId="0" fillId="9" borderId="1" xfId="0" applyFill="1" applyBorder="1"/>
    <xf numFmtId="0" fontId="3" fillId="9" borderId="1" xfId="0" applyFont="1" applyFill="1" applyBorder="1" applyAlignment="1">
      <alignment horizontal="left" vertical="center" indent="2"/>
    </xf>
    <xf numFmtId="0" fontId="3" fillId="9" borderId="1" xfId="0" applyFont="1" applyFill="1" applyBorder="1" applyAlignment="1">
      <alignment horizontal="center" vertical="center"/>
    </xf>
    <xf numFmtId="0" fontId="3" fillId="9" borderId="1" xfId="0" applyFont="1" applyFill="1" applyBorder="1" applyAlignment="1">
      <alignment vertical="center"/>
    </xf>
    <xf numFmtId="0" fontId="3" fillId="9" borderId="8" xfId="0" applyFont="1" applyFill="1" applyBorder="1" applyAlignment="1">
      <alignment vertical="center"/>
    </xf>
    <xf numFmtId="0" fontId="0" fillId="9" borderId="8" xfId="0" applyFill="1" applyBorder="1"/>
    <xf numFmtId="0" fontId="0" fillId="8" borderId="0" xfId="0" applyFill="1"/>
    <xf numFmtId="164" fontId="0" fillId="9" borderId="0" xfId="0" applyNumberFormat="1" applyFill="1" applyAlignment="1">
      <alignment horizontal="center"/>
    </xf>
    <xf numFmtId="16" fontId="0" fillId="9" borderId="5" xfId="0" applyNumberFormat="1" applyFill="1" applyBorder="1"/>
    <xf numFmtId="0" fontId="0" fillId="0" borderId="7" xfId="0" applyBorder="1"/>
    <xf numFmtId="0" fontId="0" fillId="0" borderId="1" xfId="0" applyBorder="1"/>
    <xf numFmtId="0" fontId="0" fillId="0" borderId="8" xfId="0" applyBorder="1"/>
    <xf numFmtId="0" fontId="1" fillId="0" borderId="24" xfId="0" applyFont="1" applyBorder="1" applyAlignment="1">
      <alignment horizontal="center"/>
    </xf>
    <xf numFmtId="0" fontId="1" fillId="0" borderId="29" xfId="0" applyFont="1" applyBorder="1" applyAlignment="1">
      <alignment horizontal="center"/>
    </xf>
    <xf numFmtId="0" fontId="1" fillId="5" borderId="29" xfId="0" applyFont="1" applyFill="1" applyBorder="1"/>
    <xf numFmtId="0" fontId="0" fillId="5" borderId="24" xfId="0" applyFill="1" applyBorder="1"/>
    <xf numFmtId="0" fontId="0" fillId="5" borderId="30" xfId="0" applyFill="1" applyBorder="1"/>
    <xf numFmtId="0" fontId="21" fillId="0" borderId="0" xfId="0" applyFont="1" applyAlignment="1">
      <alignment vertical="center"/>
    </xf>
    <xf numFmtId="0" fontId="0" fillId="9" borderId="0" xfId="0" applyFill="1" applyProtection="1">
      <protection locked="0"/>
    </xf>
    <xf numFmtId="0" fontId="4" fillId="9" borderId="0" xfId="0" applyFont="1" applyFill="1" applyAlignment="1">
      <alignment vertical="center" wrapText="1"/>
    </xf>
    <xf numFmtId="0" fontId="4" fillId="9" borderId="0" xfId="0" applyFont="1" applyFill="1" applyAlignment="1">
      <alignment vertical="center"/>
    </xf>
    <xf numFmtId="0" fontId="3" fillId="9" borderId="0" xfId="0" applyFont="1" applyFill="1" applyAlignment="1">
      <alignment horizontal="center"/>
    </xf>
    <xf numFmtId="0" fontId="0" fillId="9" borderId="0" xfId="0" applyFill="1" applyAlignment="1">
      <alignment horizontal="center" wrapText="1"/>
    </xf>
    <xf numFmtId="164" fontId="22" fillId="9" borderId="0" xfId="0" applyNumberFormat="1" applyFont="1" applyFill="1" applyAlignment="1">
      <alignment horizontal="center"/>
    </xf>
    <xf numFmtId="164" fontId="9" fillId="9" borderId="0" xfId="0" applyNumberFormat="1" applyFont="1" applyFill="1"/>
    <xf numFmtId="0" fontId="1" fillId="9" borderId="0" xfId="0" applyFont="1" applyFill="1" applyAlignment="1">
      <alignment horizontal="center"/>
    </xf>
    <xf numFmtId="0" fontId="0" fillId="5" borderId="0" xfId="0" applyFill="1" applyAlignment="1">
      <alignment horizontal="right"/>
    </xf>
    <xf numFmtId="0" fontId="23" fillId="9" borderId="0" xfId="0" applyFont="1" applyFill="1" applyAlignment="1">
      <alignment horizontal="center" vertical="center"/>
    </xf>
    <xf numFmtId="0" fontId="16" fillId="5" borderId="19" xfId="0" applyFont="1" applyFill="1" applyBorder="1" applyAlignment="1">
      <alignment horizontal="right"/>
    </xf>
    <xf numFmtId="3" fontId="0" fillId="5" borderId="19" xfId="0" applyNumberFormat="1" applyFill="1" applyBorder="1"/>
    <xf numFmtId="0" fontId="0" fillId="5" borderId="19" xfId="0" applyFill="1" applyBorder="1" applyProtection="1">
      <protection locked="0"/>
    </xf>
    <xf numFmtId="0" fontId="25" fillId="0" borderId="0" xfId="0" applyFont="1" applyAlignment="1">
      <alignment vertical="center"/>
    </xf>
    <xf numFmtId="0" fontId="0" fillId="9" borderId="5" xfId="0" applyFill="1" applyBorder="1" applyAlignment="1">
      <alignment horizontal="center"/>
    </xf>
    <xf numFmtId="0" fontId="1" fillId="0" borderId="5" xfId="0" applyFont="1" applyBorder="1"/>
    <xf numFmtId="0" fontId="2" fillId="0" borderId="0" xfId="1" applyBorder="1"/>
    <xf numFmtId="8" fontId="10" fillId="0" borderId="0" xfId="1" applyNumberFormat="1" applyFont="1" applyBorder="1"/>
    <xf numFmtId="164" fontId="0" fillId="0" borderId="6" xfId="0" applyNumberFormat="1" applyBorder="1"/>
    <xf numFmtId="8" fontId="0" fillId="0" borderId="6" xfId="0" applyNumberFormat="1" applyBorder="1" applyAlignment="1">
      <alignment horizontal="right" wrapText="1"/>
    </xf>
    <xf numFmtId="0" fontId="0" fillId="0" borderId="6" xfId="0" applyBorder="1"/>
    <xf numFmtId="0" fontId="1" fillId="0" borderId="7" xfId="0" applyFont="1" applyBorder="1"/>
    <xf numFmtId="0" fontId="10" fillId="0" borderId="1" xfId="0" applyFont="1" applyBorder="1"/>
    <xf numFmtId="0" fontId="0" fillId="2" borderId="1" xfId="0" applyFill="1" applyBorder="1"/>
    <xf numFmtId="8" fontId="0" fillId="2" borderId="1" xfId="0" applyNumberFormat="1" applyFill="1" applyBorder="1" applyAlignment="1">
      <alignment horizontal="right"/>
    </xf>
    <xf numFmtId="8" fontId="0" fillId="9" borderId="0" xfId="0" applyNumberFormat="1" applyFill="1"/>
    <xf numFmtId="0" fontId="1" fillId="0" borderId="29" xfId="0" applyFont="1" applyBorder="1"/>
    <xf numFmtId="164" fontId="0" fillId="0" borderId="0" xfId="0" applyNumberFormat="1" applyAlignment="1">
      <alignment horizontal="right"/>
    </xf>
    <xf numFmtId="8" fontId="0" fillId="0" borderId="0" xfId="0" applyNumberFormat="1" applyAlignment="1">
      <alignment horizontal="right"/>
    </xf>
    <xf numFmtId="8" fontId="0" fillId="0" borderId="0" xfId="0" applyNumberFormat="1" applyAlignment="1">
      <alignment horizontal="left"/>
    </xf>
    <xf numFmtId="0" fontId="3" fillId="0" borderId="15" xfId="0" applyFont="1" applyBorder="1" applyAlignment="1">
      <alignment horizontal="center" wrapText="1"/>
    </xf>
    <xf numFmtId="0" fontId="0" fillId="0" borderId="16" xfId="0" applyBorder="1" applyAlignment="1">
      <alignment horizontal="center" wrapText="1"/>
    </xf>
    <xf numFmtId="0" fontId="1" fillId="0" borderId="24" xfId="0" applyFont="1" applyBorder="1"/>
    <xf numFmtId="0" fontId="1" fillId="5" borderId="29" xfId="0" applyFont="1" applyFill="1" applyBorder="1" applyAlignment="1">
      <alignment horizontal="left"/>
    </xf>
    <xf numFmtId="164" fontId="0" fillId="5" borderId="24" xfId="0" applyNumberFormat="1" applyFill="1" applyBorder="1" applyAlignment="1">
      <alignment horizontal="center"/>
    </xf>
    <xf numFmtId="0" fontId="2" fillId="5" borderId="24" xfId="1" applyFill="1" applyBorder="1"/>
    <xf numFmtId="6" fontId="0" fillId="0" borderId="0" xfId="0" applyNumberFormat="1" applyAlignment="1">
      <alignment horizontal="right"/>
    </xf>
    <xf numFmtId="8" fontId="10" fillId="0" borderId="0" xfId="0" applyNumberFormat="1" applyFont="1"/>
    <xf numFmtId="0" fontId="1" fillId="5" borderId="12" xfId="0" applyFont="1" applyFill="1" applyBorder="1"/>
    <xf numFmtId="0" fontId="1" fillId="5" borderId="13" xfId="0" applyFont="1" applyFill="1" applyBorder="1"/>
    <xf numFmtId="0" fontId="1" fillId="5" borderId="14" xfId="0" applyFont="1" applyFill="1" applyBorder="1"/>
    <xf numFmtId="0" fontId="0" fillId="0" borderId="0" xfId="0" applyAlignment="1">
      <alignment horizontal="right" wrapText="1"/>
    </xf>
    <xf numFmtId="8" fontId="9" fillId="0" borderId="0" xfId="0" applyNumberFormat="1" applyFont="1"/>
    <xf numFmtId="1" fontId="0" fillId="5" borderId="22" xfId="0" applyNumberFormat="1" applyFill="1" applyBorder="1"/>
    <xf numFmtId="0" fontId="3" fillId="5" borderId="19" xfId="0" applyFont="1" applyFill="1" applyBorder="1" applyAlignment="1">
      <alignment vertical="center"/>
    </xf>
    <xf numFmtId="0" fontId="16" fillId="5" borderId="0" xfId="0" applyFont="1" applyFill="1" applyAlignment="1">
      <alignment vertical="center"/>
    </xf>
    <xf numFmtId="0" fontId="0" fillId="9" borderId="5" xfId="0" applyFill="1" applyBorder="1" applyAlignment="1">
      <alignment horizontal="right"/>
    </xf>
    <xf numFmtId="2" fontId="0" fillId="0" borderId="0" xfId="0" applyNumberFormat="1" applyAlignment="1">
      <alignment horizontal="right"/>
    </xf>
    <xf numFmtId="8" fontId="19" fillId="6" borderId="8" xfId="0" applyNumberFormat="1" applyFont="1" applyFill="1" applyBorder="1" applyAlignment="1">
      <alignment wrapText="1"/>
    </xf>
    <xf numFmtId="164" fontId="6" fillId="0" borderId="4" xfId="0" applyNumberFormat="1" applyFont="1" applyBorder="1" applyAlignment="1">
      <alignment horizontal="right" vertical="center" wrapText="1"/>
    </xf>
    <xf numFmtId="164" fontId="6" fillId="0" borderId="2" xfId="0" applyNumberFormat="1" applyFont="1" applyBorder="1" applyAlignment="1">
      <alignment horizontal="right" vertical="center"/>
    </xf>
    <xf numFmtId="8" fontId="6" fillId="0" borderId="20" xfId="0" applyNumberFormat="1" applyFont="1" applyBorder="1" applyAlignment="1">
      <alignment vertical="center" wrapText="1"/>
    </xf>
    <xf numFmtId="1" fontId="3" fillId="0" borderId="0" xfId="2" applyNumberFormat="1" applyFont="1" applyBorder="1" applyAlignment="1">
      <alignment horizontal="center" vertical="center"/>
    </xf>
    <xf numFmtId="8" fontId="6" fillId="0" borderId="11" xfId="0" applyNumberFormat="1" applyFont="1" applyBorder="1" applyAlignment="1">
      <alignment horizontal="right" vertical="center" wrapText="1"/>
    </xf>
    <xf numFmtId="8" fontId="11" fillId="6" borderId="8" xfId="0" applyNumberFormat="1" applyFont="1" applyFill="1" applyBorder="1" applyAlignment="1">
      <alignment wrapText="1"/>
    </xf>
    <xf numFmtId="6" fontId="6" fillId="0" borderId="4" xfId="0" applyNumberFormat="1" applyFont="1" applyBorder="1" applyAlignment="1">
      <alignment vertical="center" wrapText="1"/>
    </xf>
    <xf numFmtId="164" fontId="15" fillId="0" borderId="4" xfId="0" applyNumberFormat="1" applyFont="1" applyBorder="1"/>
    <xf numFmtId="6" fontId="15" fillId="0" borderId="4" xfId="0" applyNumberFormat="1" applyFont="1" applyBorder="1" applyAlignment="1">
      <alignment horizontal="right" wrapText="1"/>
    </xf>
    <xf numFmtId="8" fontId="15" fillId="4" borderId="8" xfId="0" applyNumberFormat="1" applyFont="1" applyFill="1" applyBorder="1" applyAlignment="1">
      <alignment wrapText="1"/>
    </xf>
    <xf numFmtId="164" fontId="6" fillId="0" borderId="4" xfId="0" applyNumberFormat="1" applyFont="1" applyBorder="1" applyAlignment="1">
      <alignment vertical="center"/>
    </xf>
    <xf numFmtId="164" fontId="0" fillId="0" borderId="25" xfId="0" applyNumberFormat="1" applyBorder="1"/>
    <xf numFmtId="9" fontId="0" fillId="0" borderId="34" xfId="0" applyNumberFormat="1" applyBorder="1" applyAlignment="1">
      <alignment horizontal="center"/>
    </xf>
    <xf numFmtId="9" fontId="0" fillId="0" borderId="35" xfId="0" applyNumberFormat="1" applyBorder="1" applyAlignment="1">
      <alignment horizontal="center"/>
    </xf>
    <xf numFmtId="0" fontId="0" fillId="0" borderId="36" xfId="0" applyBorder="1" applyAlignment="1">
      <alignment wrapText="1"/>
    </xf>
    <xf numFmtId="9" fontId="0" fillId="0" borderId="14" xfId="0" applyNumberFormat="1" applyBorder="1"/>
    <xf numFmtId="9" fontId="0" fillId="0" borderId="13" xfId="0" applyNumberFormat="1" applyBorder="1"/>
    <xf numFmtId="0" fontId="0" fillId="0" borderId="12" xfId="0" applyBorder="1"/>
    <xf numFmtId="9" fontId="0" fillId="9" borderId="0" xfId="0" applyNumberFormat="1" applyFill="1"/>
    <xf numFmtId="9" fontId="0" fillId="9" borderId="1" xfId="0" applyNumberFormat="1" applyFill="1" applyBorder="1"/>
    <xf numFmtId="9" fontId="0" fillId="10" borderId="7" xfId="0" applyNumberFormat="1" applyFill="1" applyBorder="1"/>
    <xf numFmtId="0" fontId="27" fillId="9" borderId="0" xfId="0" applyFont="1" applyFill="1" applyAlignment="1">
      <alignment vertical="center"/>
    </xf>
    <xf numFmtId="0" fontId="0" fillId="9" borderId="0" xfId="0" applyFill="1" applyAlignment="1">
      <alignment vertical="center"/>
    </xf>
    <xf numFmtId="0" fontId="28" fillId="11" borderId="5" xfId="0" applyFont="1" applyFill="1" applyBorder="1" applyAlignment="1">
      <alignment vertical="center"/>
    </xf>
    <xf numFmtId="0" fontId="29" fillId="12" borderId="5" xfId="0" applyFont="1" applyFill="1" applyBorder="1" applyAlignment="1">
      <alignment vertical="center"/>
    </xf>
    <xf numFmtId="0" fontId="0" fillId="9" borderId="28" xfId="0" applyFill="1" applyBorder="1"/>
    <xf numFmtId="0" fontId="0" fillId="9" borderId="27" xfId="0" applyFill="1" applyBorder="1"/>
    <xf numFmtId="0" fontId="30" fillId="13" borderId="26" xfId="0" applyFont="1" applyFill="1" applyBorder="1"/>
    <xf numFmtId="164" fontId="26" fillId="9" borderId="8" xfId="0" applyNumberFormat="1" applyFont="1" applyFill="1" applyBorder="1"/>
    <xf numFmtId="164" fontId="26" fillId="9" borderId="1" xfId="0" applyNumberFormat="1" applyFont="1" applyFill="1" applyBorder="1"/>
    <xf numFmtId="9" fontId="0" fillId="9" borderId="37" xfId="0" applyNumberFormat="1" applyFill="1" applyBorder="1" applyAlignment="1">
      <alignment horizontal="center"/>
    </xf>
    <xf numFmtId="9" fontId="0" fillId="9" borderId="0" xfId="0" applyNumberFormat="1" applyFill="1" applyAlignment="1">
      <alignment horizontal="center"/>
    </xf>
    <xf numFmtId="164" fontId="26" fillId="9" borderId="6" xfId="0" applyNumberFormat="1" applyFont="1" applyFill="1" applyBorder="1"/>
    <xf numFmtId="164" fontId="26" fillId="9" borderId="0" xfId="0" applyNumberFormat="1" applyFont="1" applyFill="1"/>
    <xf numFmtId="9" fontId="0" fillId="9" borderId="38" xfId="0" applyNumberFormat="1" applyFill="1" applyBorder="1" applyAlignment="1">
      <alignment horizontal="center"/>
    </xf>
    <xf numFmtId="0" fontId="0" fillId="9" borderId="39" xfId="0" applyFill="1" applyBorder="1" applyAlignment="1">
      <alignment wrapText="1"/>
    </xf>
    <xf numFmtId="0" fontId="0" fillId="9" borderId="0" xfId="0" applyFill="1" applyAlignment="1">
      <alignment wrapText="1"/>
    </xf>
    <xf numFmtId="9" fontId="0" fillId="9" borderId="30" xfId="0" applyNumberFormat="1" applyFill="1" applyBorder="1"/>
    <xf numFmtId="9" fontId="0" fillId="9" borderId="24" xfId="0" applyNumberFormat="1" applyFill="1" applyBorder="1"/>
    <xf numFmtId="0" fontId="0" fillId="9" borderId="29" xfId="0" applyFill="1" applyBorder="1"/>
    <xf numFmtId="9" fontId="0" fillId="0" borderId="0" xfId="0" applyNumberFormat="1"/>
    <xf numFmtId="0" fontId="10" fillId="9" borderId="0" xfId="0" applyFont="1" applyFill="1"/>
    <xf numFmtId="0" fontId="10" fillId="9" borderId="6" xfId="0" applyFont="1" applyFill="1" applyBorder="1"/>
    <xf numFmtId="0" fontId="30" fillId="0" borderId="0" xfId="0" applyFont="1"/>
    <xf numFmtId="0" fontId="29" fillId="0" borderId="0" xfId="0" applyFont="1" applyAlignment="1">
      <alignment vertical="center"/>
    </xf>
    <xf numFmtId="0" fontId="28" fillId="0" borderId="0" xfId="0" applyFont="1" applyAlignment="1">
      <alignment vertical="center"/>
    </xf>
    <xf numFmtId="9" fontId="0" fillId="0" borderId="6" xfId="0" applyNumberFormat="1" applyBorder="1"/>
    <xf numFmtId="9" fontId="0" fillId="0" borderId="8" xfId="0" applyNumberFormat="1" applyBorder="1"/>
    <xf numFmtId="164" fontId="1" fillId="6" borderId="0" xfId="0" applyNumberFormat="1" applyFont="1" applyFill="1"/>
    <xf numFmtId="1" fontId="0" fillId="0" borderId="35" xfId="0" applyNumberFormat="1" applyBorder="1" applyAlignment="1">
      <alignment horizontal="center"/>
    </xf>
    <xf numFmtId="9" fontId="0" fillId="0" borderId="25" xfId="3" applyFont="1" applyBorder="1"/>
    <xf numFmtId="1" fontId="0" fillId="0" borderId="34" xfId="0" applyNumberFormat="1" applyBorder="1" applyAlignment="1">
      <alignment horizontal="center"/>
    </xf>
    <xf numFmtId="0" fontId="1" fillId="14" borderId="0" xfId="0" applyFont="1" applyFill="1"/>
    <xf numFmtId="0" fontId="0" fillId="14" borderId="0" xfId="0" applyFill="1"/>
    <xf numFmtId="164" fontId="0" fillId="0" borderId="6" xfId="0" applyNumberFormat="1" applyBorder="1" applyAlignment="1">
      <alignment wrapText="1"/>
    </xf>
    <xf numFmtId="0" fontId="31" fillId="0" borderId="0" xfId="0" applyFont="1" applyAlignment="1">
      <alignment horizontal="center"/>
    </xf>
    <xf numFmtId="0" fontId="0" fillId="0" borderId="0" xfId="0" applyAlignment="1">
      <alignment horizontal="center"/>
    </xf>
    <xf numFmtId="0" fontId="32" fillId="5" borderId="26" xfId="0" applyFont="1" applyFill="1" applyBorder="1" applyAlignment="1">
      <alignment horizontal="center"/>
    </xf>
    <xf numFmtId="0" fontId="32" fillId="5" borderId="28" xfId="0" applyFont="1" applyFill="1" applyBorder="1" applyAlignment="1">
      <alignment horizontal="center"/>
    </xf>
    <xf numFmtId="0" fontId="32" fillId="5" borderId="5" xfId="0" applyFont="1" applyFill="1" applyBorder="1" applyAlignment="1">
      <alignment horizontal="center"/>
    </xf>
    <xf numFmtId="0" fontId="32" fillId="5" borderId="6" xfId="0" applyFont="1" applyFill="1" applyBorder="1" applyAlignment="1">
      <alignment horizontal="center"/>
    </xf>
    <xf numFmtId="0" fontId="27" fillId="5" borderId="26" xfId="0" applyFont="1" applyFill="1" applyBorder="1" applyAlignment="1">
      <alignment horizontal="center" vertical="center"/>
    </xf>
    <xf numFmtId="0" fontId="27" fillId="5" borderId="27" xfId="0" applyFont="1" applyFill="1" applyBorder="1" applyAlignment="1">
      <alignment horizontal="center" vertical="center"/>
    </xf>
    <xf numFmtId="0" fontId="27" fillId="5" borderId="28" xfId="0" applyFont="1" applyFill="1" applyBorder="1" applyAlignment="1">
      <alignment horizontal="center" vertical="center"/>
    </xf>
    <xf numFmtId="0" fontId="27" fillId="5" borderId="5" xfId="0" applyFont="1" applyFill="1" applyBorder="1" applyAlignment="1">
      <alignment horizontal="center" vertical="center"/>
    </xf>
    <xf numFmtId="0" fontId="27" fillId="5" borderId="0" xfId="0" applyFont="1" applyFill="1" applyAlignment="1">
      <alignment horizontal="center" vertical="center"/>
    </xf>
    <xf numFmtId="0" fontId="27" fillId="5" borderId="6" xfId="0" applyFont="1" applyFill="1" applyBorder="1" applyAlignment="1">
      <alignment horizontal="center" vertical="center"/>
    </xf>
    <xf numFmtId="0" fontId="31" fillId="9" borderId="0" xfId="0" applyFont="1" applyFill="1" applyAlignment="1">
      <alignment horizontal="center"/>
    </xf>
    <xf numFmtId="0" fontId="0" fillId="9" borderId="0" xfId="0" applyFill="1" applyAlignment="1">
      <alignment horizontal="center"/>
    </xf>
    <xf numFmtId="0" fontId="27" fillId="5" borderId="1" xfId="0" applyFont="1" applyFill="1" applyBorder="1" applyAlignment="1">
      <alignment horizontal="center" vertical="center"/>
    </xf>
    <xf numFmtId="0" fontId="33" fillId="5" borderId="26" xfId="0" applyFont="1" applyFill="1" applyBorder="1" applyAlignment="1">
      <alignment horizontal="center" vertical="center"/>
    </xf>
    <xf numFmtId="0" fontId="27" fillId="5" borderId="7" xfId="0" applyFont="1" applyFill="1" applyBorder="1" applyAlignment="1">
      <alignment horizontal="center" vertical="center"/>
    </xf>
    <xf numFmtId="0" fontId="27" fillId="5" borderId="8" xfId="0" applyFont="1" applyFill="1" applyBorder="1" applyAlignment="1">
      <alignment horizontal="center" vertical="center"/>
    </xf>
    <xf numFmtId="0" fontId="36" fillId="5" borderId="26" xfId="0" applyFont="1" applyFill="1" applyBorder="1" applyAlignment="1">
      <alignment horizontal="center" vertical="center"/>
    </xf>
    <xf numFmtId="0" fontId="36" fillId="5" borderId="27" xfId="0" applyFont="1" applyFill="1" applyBorder="1" applyAlignment="1">
      <alignment horizontal="center" vertical="center"/>
    </xf>
    <xf numFmtId="0" fontId="36" fillId="5" borderId="28" xfId="0" applyFont="1" applyFill="1" applyBorder="1" applyAlignment="1">
      <alignment horizontal="center" vertical="center"/>
    </xf>
    <xf numFmtId="0" fontId="36" fillId="5" borderId="7" xfId="0" applyFont="1" applyFill="1" applyBorder="1" applyAlignment="1">
      <alignment horizontal="center" vertical="center"/>
    </xf>
    <xf numFmtId="0" fontId="36" fillId="5" borderId="1" xfId="0" applyFont="1" applyFill="1" applyBorder="1" applyAlignment="1">
      <alignment horizontal="center" vertical="center"/>
    </xf>
    <xf numFmtId="0" fontId="36" fillId="5" borderId="8" xfId="0" applyFont="1" applyFill="1" applyBorder="1" applyAlignment="1">
      <alignment horizontal="center" vertical="center"/>
    </xf>
    <xf numFmtId="164" fontId="2" fillId="9" borderId="7" xfId="1" applyNumberFormat="1" applyFill="1" applyBorder="1" applyAlignment="1">
      <alignment horizontal="left"/>
    </xf>
    <xf numFmtId="164" fontId="0" fillId="9" borderId="1" xfId="0" applyNumberFormat="1" applyFill="1" applyBorder="1" applyAlignment="1">
      <alignment horizontal="left"/>
    </xf>
    <xf numFmtId="164" fontId="0" fillId="9" borderId="8" xfId="0" applyNumberFormat="1" applyFill="1" applyBorder="1" applyAlignment="1">
      <alignment horizontal="left"/>
    </xf>
    <xf numFmtId="0" fontId="2" fillId="0" borderId="0" xfId="1" applyBorder="1" applyAlignment="1">
      <alignment horizontal="left"/>
    </xf>
    <xf numFmtId="0" fontId="2" fillId="0" borderId="6" xfId="1" applyBorder="1" applyAlignment="1">
      <alignment horizontal="left"/>
    </xf>
    <xf numFmtId="0" fontId="0" fillId="0" borderId="0" xfId="0" applyAlignment="1">
      <alignment horizontal="left"/>
    </xf>
    <xf numFmtId="0" fontId="24" fillId="5" borderId="26" xfId="0" applyFont="1" applyFill="1" applyBorder="1" applyAlignment="1">
      <alignment horizontal="center" vertical="center"/>
    </xf>
    <xf numFmtId="0" fontId="24" fillId="5" borderId="27" xfId="0" applyFont="1" applyFill="1" applyBorder="1" applyAlignment="1">
      <alignment horizontal="center" vertical="center"/>
    </xf>
    <xf numFmtId="0" fontId="24" fillId="5" borderId="28" xfId="0" applyFont="1" applyFill="1" applyBorder="1" applyAlignment="1">
      <alignment horizontal="center" vertical="center"/>
    </xf>
    <xf numFmtId="0" fontId="24" fillId="5" borderId="5" xfId="0" applyFont="1" applyFill="1" applyBorder="1" applyAlignment="1">
      <alignment horizontal="center" vertical="center"/>
    </xf>
    <xf numFmtId="0" fontId="24" fillId="5" borderId="0" xfId="0" applyFont="1" applyFill="1" applyAlignment="1">
      <alignment horizontal="center" vertical="center"/>
    </xf>
    <xf numFmtId="0" fontId="24" fillId="5" borderId="6" xfId="0" applyFont="1" applyFill="1" applyBorder="1" applyAlignment="1">
      <alignment horizontal="center" vertical="center"/>
    </xf>
    <xf numFmtId="0" fontId="2" fillId="9" borderId="5" xfId="1" applyFill="1" applyBorder="1" applyAlignment="1">
      <alignment horizontal="left"/>
    </xf>
    <xf numFmtId="0" fontId="2" fillId="9" borderId="0" xfId="1" applyFill="1" applyBorder="1" applyAlignment="1">
      <alignment horizontal="left"/>
    </xf>
    <xf numFmtId="0" fontId="2" fillId="9" borderId="6" xfId="1" applyFill="1" applyBorder="1" applyAlignment="1">
      <alignment horizontal="left"/>
    </xf>
    <xf numFmtId="0" fontId="2" fillId="9" borderId="33" xfId="1" applyFill="1" applyBorder="1" applyAlignment="1">
      <alignment horizontal="left"/>
    </xf>
    <xf numFmtId="0" fontId="2" fillId="9" borderId="31" xfId="1" applyFill="1" applyBorder="1" applyAlignment="1">
      <alignment horizontal="left"/>
    </xf>
    <xf numFmtId="0" fontId="2" fillId="9" borderId="32" xfId="1" applyFill="1" applyBorder="1" applyAlignment="1">
      <alignment horizontal="left"/>
    </xf>
    <xf numFmtId="0" fontId="21" fillId="2" borderId="26" xfId="0" applyFont="1" applyFill="1" applyBorder="1" applyAlignment="1">
      <alignment horizontal="center" vertical="center"/>
    </xf>
    <xf numFmtId="0" fontId="1" fillId="2" borderId="27" xfId="0" applyFont="1" applyFill="1" applyBorder="1" applyAlignment="1">
      <alignment horizontal="center" vertical="center"/>
    </xf>
    <xf numFmtId="0" fontId="1" fillId="2" borderId="28" xfId="0" applyFont="1" applyFill="1" applyBorder="1" applyAlignment="1">
      <alignment horizontal="center" vertical="center"/>
    </xf>
    <xf numFmtId="0" fontId="0" fillId="5" borderId="23" xfId="0" applyFill="1" applyBorder="1" applyAlignment="1" applyProtection="1">
      <alignment horizontal="left"/>
      <protection locked="0"/>
    </xf>
    <xf numFmtId="0" fontId="0" fillId="5" borderId="24" xfId="0" applyFill="1" applyBorder="1" applyAlignment="1" applyProtection="1">
      <alignment horizontal="left"/>
      <protection locked="0"/>
    </xf>
    <xf numFmtId="0" fontId="0" fillId="5" borderId="25" xfId="0" applyFill="1" applyBorder="1" applyAlignment="1" applyProtection="1">
      <alignment horizontal="left"/>
      <protection locked="0"/>
    </xf>
    <xf numFmtId="0" fontId="7" fillId="0" borderId="0" xfId="0" applyFont="1" applyAlignment="1">
      <alignment horizontal="center" vertical="center"/>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2" fillId="0" borderId="31" xfId="1" applyBorder="1" applyAlignment="1">
      <alignment horizontal="left"/>
    </xf>
    <xf numFmtId="0" fontId="2" fillId="0" borderId="32" xfId="1" applyBorder="1" applyAlignment="1">
      <alignment horizontal="left"/>
    </xf>
    <xf numFmtId="0" fontId="1" fillId="0" borderId="24" xfId="0" applyFont="1" applyBorder="1" applyAlignment="1">
      <alignment horizontal="center"/>
    </xf>
    <xf numFmtId="0" fontId="1" fillId="0" borderId="30" xfId="0" applyFont="1" applyBorder="1" applyAlignment="1">
      <alignment horizontal="center"/>
    </xf>
    <xf numFmtId="0" fontId="4" fillId="0" borderId="0" xfId="0" applyFont="1" applyAlignment="1">
      <alignment horizontal="center" vertical="center" wrapText="1"/>
    </xf>
    <xf numFmtId="0" fontId="3" fillId="5" borderId="19" xfId="0" applyFont="1" applyFill="1" applyBorder="1" applyAlignment="1">
      <alignment horizontal="left" vertical="center"/>
    </xf>
    <xf numFmtId="0" fontId="0" fillId="5" borderId="19" xfId="0" applyFill="1" applyBorder="1" applyAlignment="1">
      <alignment horizontal="left"/>
    </xf>
    <xf numFmtId="0" fontId="0" fillId="5" borderId="23" xfId="0" applyFill="1" applyBorder="1" applyAlignment="1">
      <alignment horizontal="left"/>
    </xf>
    <xf numFmtId="0" fontId="0" fillId="5" borderId="24" xfId="0" applyFill="1" applyBorder="1" applyAlignment="1">
      <alignment horizontal="left"/>
    </xf>
    <xf numFmtId="0" fontId="0" fillId="5" borderId="25" xfId="0" applyFill="1" applyBorder="1" applyAlignment="1">
      <alignment horizontal="left"/>
    </xf>
    <xf numFmtId="0" fontId="21" fillId="2" borderId="27" xfId="0" applyFont="1" applyFill="1" applyBorder="1" applyAlignment="1">
      <alignment horizontal="center" vertical="center"/>
    </xf>
    <xf numFmtId="0" fontId="21" fillId="2" borderId="28" xfId="0" applyFont="1" applyFill="1" applyBorder="1" applyAlignment="1">
      <alignment horizontal="center" vertical="center"/>
    </xf>
    <xf numFmtId="0" fontId="0" fillId="5" borderId="27" xfId="0" applyFill="1" applyBorder="1" applyAlignment="1">
      <alignment horizontal="center" vertical="center"/>
    </xf>
    <xf numFmtId="0" fontId="0" fillId="5" borderId="28" xfId="0" applyFill="1" applyBorder="1" applyAlignment="1">
      <alignment horizontal="center" vertical="center"/>
    </xf>
    <xf numFmtId="0" fontId="0" fillId="5" borderId="5" xfId="0" applyFill="1" applyBorder="1" applyAlignment="1">
      <alignment horizontal="center" vertical="center"/>
    </xf>
    <xf numFmtId="0" fontId="0" fillId="5" borderId="0" xfId="0" applyFill="1" applyAlignment="1">
      <alignment horizontal="center" vertical="center"/>
    </xf>
    <xf numFmtId="0" fontId="0" fillId="5" borderId="6" xfId="0" applyFill="1" applyBorder="1" applyAlignment="1">
      <alignment horizontal="center" vertical="center"/>
    </xf>
    <xf numFmtId="0" fontId="0" fillId="9" borderId="31" xfId="0" applyFill="1" applyBorder="1" applyAlignment="1">
      <alignment horizontal="left"/>
    </xf>
    <xf numFmtId="0" fontId="0" fillId="9" borderId="32" xfId="0" applyFill="1" applyBorder="1" applyAlignment="1">
      <alignment horizontal="left"/>
    </xf>
    <xf numFmtId="164" fontId="2" fillId="9" borderId="5" xfId="1" applyNumberFormat="1" applyFill="1" applyBorder="1" applyAlignment="1">
      <alignment horizontal="left"/>
    </xf>
    <xf numFmtId="164" fontId="0" fillId="9" borderId="0" xfId="0" applyNumberFormat="1" applyFill="1" applyAlignment="1">
      <alignment horizontal="left"/>
    </xf>
    <xf numFmtId="164" fontId="0" fillId="9" borderId="6" xfId="0" applyNumberFormat="1" applyFill="1" applyBorder="1" applyAlignment="1">
      <alignment horizontal="left"/>
    </xf>
    <xf numFmtId="0" fontId="0" fillId="5" borderId="19" xfId="0" applyFill="1" applyBorder="1" applyAlignment="1">
      <alignment horizontal="left" wrapText="1"/>
    </xf>
    <xf numFmtId="0" fontId="0" fillId="6" borderId="0" xfId="0" applyFill="1" applyAlignment="1">
      <alignment horizontal="center"/>
    </xf>
    <xf numFmtId="0" fontId="0" fillId="9" borderId="0" xfId="0" applyFill="1" applyAlignment="1">
      <alignment horizontal="left"/>
    </xf>
    <xf numFmtId="0" fontId="0" fillId="9" borderId="6" xfId="0" applyFill="1" applyBorder="1" applyAlignment="1">
      <alignment horizontal="left"/>
    </xf>
    <xf numFmtId="0" fontId="2" fillId="9" borderId="7" xfId="1" applyFill="1" applyBorder="1" applyAlignment="1">
      <alignment horizontal="left"/>
    </xf>
    <xf numFmtId="0" fontId="0" fillId="9" borderId="1" xfId="0" applyFill="1" applyBorder="1" applyAlignment="1">
      <alignment horizontal="left"/>
    </xf>
    <xf numFmtId="0" fontId="0" fillId="9" borderId="8" xfId="0" applyFill="1" applyBorder="1" applyAlignment="1">
      <alignment horizontal="left"/>
    </xf>
    <xf numFmtId="0" fontId="24" fillId="5" borderId="26" xfId="0" applyFont="1" applyFill="1" applyBorder="1" applyAlignment="1">
      <alignment horizontal="center"/>
    </xf>
    <xf numFmtId="0" fontId="24" fillId="5" borderId="27" xfId="0" applyFont="1" applyFill="1" applyBorder="1" applyAlignment="1">
      <alignment horizontal="center"/>
    </xf>
    <xf numFmtId="0" fontId="24" fillId="5" borderId="28" xfId="0" applyFont="1" applyFill="1" applyBorder="1" applyAlignment="1">
      <alignment horizontal="center"/>
    </xf>
    <xf numFmtId="0" fontId="17" fillId="0" borderId="0" xfId="0" applyFont="1" applyAlignment="1">
      <alignment horizontal="center" wrapText="1"/>
    </xf>
    <xf numFmtId="0" fontId="17" fillId="0" borderId="12" xfId="0" applyFont="1" applyBorder="1" applyAlignment="1">
      <alignment horizontal="center" wrapText="1"/>
    </xf>
    <xf numFmtId="0" fontId="17" fillId="0" borderId="13" xfId="0" applyFont="1" applyBorder="1" applyAlignment="1">
      <alignment horizontal="center" wrapText="1"/>
    </xf>
    <xf numFmtId="0" fontId="2" fillId="0" borderId="3" xfId="1" applyBorder="1" applyAlignment="1">
      <alignment horizontal="left"/>
    </xf>
    <xf numFmtId="0" fontId="2" fillId="0" borderId="18" xfId="1" applyBorder="1" applyAlignment="1">
      <alignment horizontal="left"/>
    </xf>
    <xf numFmtId="0" fontId="10" fillId="0" borderId="0" xfId="1" applyFont="1" applyFill="1" applyBorder="1" applyAlignment="1">
      <alignment horizontal="left"/>
    </xf>
    <xf numFmtId="0" fontId="2" fillId="0" borderId="6" xfId="1" applyFill="1" applyBorder="1" applyAlignment="1">
      <alignment horizontal="left"/>
    </xf>
    <xf numFmtId="0" fontId="2" fillId="9" borderId="1" xfId="1" applyFill="1" applyBorder="1" applyAlignment="1">
      <alignment horizontal="left"/>
    </xf>
    <xf numFmtId="0" fontId="2" fillId="9" borderId="8" xfId="1" applyFill="1" applyBorder="1" applyAlignment="1">
      <alignment horizontal="left"/>
    </xf>
    <xf numFmtId="0" fontId="2" fillId="0" borderId="0" xfId="1" applyFill="1" applyBorder="1" applyAlignment="1">
      <alignment horizontal="left"/>
    </xf>
    <xf numFmtId="0" fontId="0" fillId="2" borderId="27" xfId="0" applyFill="1" applyBorder="1" applyAlignment="1">
      <alignment horizontal="center" vertical="center"/>
    </xf>
    <xf numFmtId="0" fontId="0" fillId="2" borderId="28" xfId="0" applyFill="1" applyBorder="1" applyAlignment="1">
      <alignment horizontal="center"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2" fillId="0" borderId="0" xfId="1" applyBorder="1" applyAlignment="1">
      <alignment horizontal="center"/>
    </xf>
    <xf numFmtId="0" fontId="10" fillId="0" borderId="6" xfId="1" applyFont="1" applyBorder="1" applyAlignment="1">
      <alignment horizontal="center"/>
    </xf>
    <xf numFmtId="0" fontId="21" fillId="2" borderId="0" xfId="0" applyFont="1" applyFill="1" applyAlignment="1">
      <alignment horizontal="center" vertical="center"/>
    </xf>
  </cellXfs>
  <cellStyles count="4">
    <cellStyle name="Currency" xfId="2" builtinId="4"/>
    <cellStyle name="Hyperlink" xfId="1" builtinId="8"/>
    <cellStyle name="Normal" xfId="0" builtinId="0"/>
    <cellStyle name="Percent" xfId="3" builtinId="5"/>
  </cellStyles>
  <dxfs count="8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Turbo Fladry'!A1"/><Relationship Id="rId2" Type="http://schemas.openxmlformats.org/officeDocument/2006/relationships/hyperlink" Target="#'Carcass Composting'!A1"/><Relationship Id="rId1" Type="http://schemas.openxmlformats.org/officeDocument/2006/relationships/hyperlink" Target="#'Night Penning'!A1"/><Relationship Id="rId6" Type="http://schemas.openxmlformats.org/officeDocument/2006/relationships/hyperlink" Target="#'Deterrent Devices'!A1"/><Relationship Id="rId5" Type="http://schemas.openxmlformats.org/officeDocument/2006/relationships/hyperlink" Target="#'Gaurdian Dogs'!A1"/><Relationship Id="rId4" Type="http://schemas.openxmlformats.org/officeDocument/2006/relationships/hyperlink" Target="#'Range Riding'!A1"/></Relationships>
</file>

<file path=xl/drawings/_rels/drawing3.xml.rels><?xml version="1.0" encoding="UTF-8" standalone="yes"?>
<Relationships xmlns="http://schemas.openxmlformats.org/package/2006/relationships"><Relationship Id="rId1" Type="http://schemas.openxmlformats.org/officeDocument/2006/relationships/hyperlink" Target="#HomePage!A1"/></Relationships>
</file>

<file path=xl/drawings/_rels/drawing4.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hyperlink" Target="#HomePage!A1"/></Relationships>
</file>

<file path=xl/drawings/_rels/drawing5.xml.rels><?xml version="1.0" encoding="UTF-8" standalone="yes"?>
<Relationships xmlns="http://schemas.openxmlformats.org/package/2006/relationships"><Relationship Id="rId1" Type="http://schemas.openxmlformats.org/officeDocument/2006/relationships/hyperlink" Target="#HomePage!A1"/></Relationships>
</file>

<file path=xl/drawings/_rels/drawing6.xml.rels><?xml version="1.0" encoding="UTF-8" standalone="yes"?>
<Relationships xmlns="http://schemas.openxmlformats.org/package/2006/relationships"><Relationship Id="rId1" Type="http://schemas.openxmlformats.org/officeDocument/2006/relationships/hyperlink" Target="#HomePage!A1"/></Relationships>
</file>

<file path=xl/drawings/_rels/drawing7.xml.rels><?xml version="1.0" encoding="UTF-8" standalone="yes"?>
<Relationships xmlns="http://schemas.openxmlformats.org/package/2006/relationships"><Relationship Id="rId1" Type="http://schemas.openxmlformats.org/officeDocument/2006/relationships/hyperlink" Target="#HomePage!A1"/></Relationships>
</file>

<file path=xl/drawings/_rels/drawing8.xml.rels><?xml version="1.0" encoding="UTF-8" standalone="yes"?>
<Relationships xmlns="http://schemas.openxmlformats.org/package/2006/relationships"><Relationship Id="rId1" Type="http://schemas.openxmlformats.org/officeDocument/2006/relationships/hyperlink" Target="#HomePage!A1"/></Relationships>
</file>

<file path=xl/drawings/drawing1.xml><?xml version="1.0" encoding="utf-8"?>
<xdr:wsDr xmlns:xdr="http://schemas.openxmlformats.org/drawingml/2006/spreadsheetDrawing" xmlns:a="http://schemas.openxmlformats.org/drawingml/2006/main">
  <xdr:twoCellAnchor>
    <xdr:from>
      <xdr:col>7</xdr:col>
      <xdr:colOff>579222</xdr:colOff>
      <xdr:row>47</xdr:row>
      <xdr:rowOff>128806</xdr:rowOff>
    </xdr:from>
    <xdr:to>
      <xdr:col>18</xdr:col>
      <xdr:colOff>342327</xdr:colOff>
      <xdr:row>65</xdr:row>
      <xdr:rowOff>144609</xdr:rowOff>
    </xdr:to>
    <xdr:sp macro="" textlink="">
      <xdr:nvSpPr>
        <xdr:cNvPr id="9" name="Rectangle 8">
          <a:extLst>
            <a:ext uri="{FF2B5EF4-FFF2-40B4-BE49-F238E27FC236}">
              <a16:creationId xmlns:a16="http://schemas.microsoft.com/office/drawing/2014/main" id="{20AA4362-CD63-4373-D7EF-C802DED02E14}"/>
            </a:ext>
          </a:extLst>
        </xdr:cNvPr>
        <xdr:cNvSpPr/>
      </xdr:nvSpPr>
      <xdr:spPr>
        <a:xfrm>
          <a:off x="5083489" y="8883339"/>
          <a:ext cx="6841238" cy="3368603"/>
        </a:xfrm>
        <a:prstGeom prst="rect">
          <a:avLst/>
        </a:prstGeom>
        <a:solidFill>
          <a:schemeClr val="accent6">
            <a:lumMod val="20000"/>
            <a:lumOff val="80000"/>
          </a:schemeClr>
        </a:solid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190500</xdr:colOff>
      <xdr:row>1</xdr:row>
      <xdr:rowOff>15238</xdr:rowOff>
    </xdr:from>
    <xdr:to>
      <xdr:col>26</xdr:col>
      <xdr:colOff>68385</xdr:colOff>
      <xdr:row>45</xdr:row>
      <xdr:rowOff>89171</xdr:rowOff>
    </xdr:to>
    <xdr:sp macro="" textlink="">
      <xdr:nvSpPr>
        <xdr:cNvPr id="8" name="Rectangle 7">
          <a:extLst>
            <a:ext uri="{FF2B5EF4-FFF2-40B4-BE49-F238E27FC236}">
              <a16:creationId xmlns:a16="http://schemas.microsoft.com/office/drawing/2014/main" id="{1BF4C878-4314-534E-08E4-F57F0E7EDFE2}"/>
            </a:ext>
          </a:extLst>
        </xdr:cNvPr>
        <xdr:cNvSpPr/>
      </xdr:nvSpPr>
      <xdr:spPr>
        <a:xfrm>
          <a:off x="830904" y="201685"/>
          <a:ext cx="15887992" cy="8277592"/>
        </a:xfrm>
        <a:prstGeom prst="rect">
          <a:avLst/>
        </a:prstGeom>
        <a:solidFill>
          <a:schemeClr val="bg1"/>
        </a:solidFill>
        <a:effectLst>
          <a:glow rad="101600">
            <a:schemeClr val="accent3">
              <a:satMod val="175000"/>
              <a:alpha val="40000"/>
            </a:schemeClr>
          </a:glo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2800" baseline="0">
              <a:solidFill>
                <a:sysClr val="windowText" lastClr="000000"/>
              </a:solidFill>
              <a:effectLst/>
              <a:latin typeface="+mn-lt"/>
              <a:ea typeface="+mn-ea"/>
              <a:cs typeface="+mn-cs"/>
            </a:rPr>
            <a:t>Enterprise Budget Sheets for </a:t>
          </a:r>
          <a:r>
            <a:rPr lang="en-US" sz="2800">
              <a:solidFill>
                <a:sysClr val="windowText" lastClr="000000"/>
              </a:solidFill>
            </a:rPr>
            <a:t>Wolf-Livestock</a:t>
          </a:r>
          <a:r>
            <a:rPr lang="en-US" sz="2800" baseline="0">
              <a:solidFill>
                <a:sysClr val="windowText" lastClr="000000"/>
              </a:solidFill>
            </a:rPr>
            <a:t> Conflict Prevention Practices</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600" b="1">
              <a:solidFill>
                <a:sysClr val="windowText" lastClr="000000"/>
              </a:solidFill>
            </a:rPr>
            <a:t>Introduction:</a:t>
          </a:r>
        </a:p>
        <a:p>
          <a:pPr marL="0" marR="0" lvl="0" indent="0" algn="l" defTabSz="914400" eaLnBrk="1" fontAlgn="auto" latinLnBrk="0" hangingPunct="1">
            <a:lnSpc>
              <a:spcPct val="100000"/>
            </a:lnSpc>
            <a:spcBef>
              <a:spcPts val="0"/>
            </a:spcBef>
            <a:spcAft>
              <a:spcPts val="0"/>
            </a:spcAft>
            <a:buClrTx/>
            <a:buSzTx/>
            <a:buFontTx/>
            <a:buNone/>
            <a:tabLst/>
            <a:defRPr/>
          </a:pPr>
          <a:r>
            <a:rPr lang="en-US" sz="1400">
              <a:solidFill>
                <a:sysClr val="windowText" lastClr="000000"/>
              </a:solidFill>
            </a:rPr>
            <a:t>This excel book serves</a:t>
          </a:r>
          <a:r>
            <a:rPr lang="en-US" sz="1400" baseline="0">
              <a:solidFill>
                <a:sysClr val="windowText" lastClr="000000"/>
              </a:solidFill>
            </a:rPr>
            <a:t> as a tool for understanding typical costs associated with non-lethal wolf-livestock conflict prevention practices. </a:t>
          </a:r>
          <a:r>
            <a:rPr lang="en-US" sz="1400" b="1" baseline="0">
              <a:solidFill>
                <a:sysClr val="windowText" lastClr="000000"/>
              </a:solidFill>
            </a:rPr>
            <a:t>Click</a:t>
          </a:r>
          <a:r>
            <a:rPr lang="en-US" sz="1400" baseline="0">
              <a:solidFill>
                <a:sysClr val="windowText" lastClr="000000"/>
              </a:solidFill>
            </a:rPr>
            <a:t> on any of the buttons below to be taken directly to the sheet with the practice/device(s) respective annualized enterprise budget. From there you will be prompted with questions specific to your operation. Once the questions are answered, the respective budget sheet will autofill displaying an annualized cost. The budget sheets are amortized which means they incorporate the useful life of the inputs for each practice. See below for practice and device definitions.</a:t>
          </a:r>
        </a:p>
        <a:p>
          <a:pPr algn="l"/>
          <a:endParaRPr lang="en-US" sz="1100" baseline="0">
            <a:solidFill>
              <a:sysClr val="windowText" lastClr="000000"/>
            </a:solidFill>
          </a:endParaRPr>
        </a:p>
        <a:p>
          <a:pPr algn="l"/>
          <a:r>
            <a:rPr lang="en-US" sz="1600" u="sng" baseline="0">
              <a:solidFill>
                <a:sysClr val="windowText" lastClr="000000"/>
              </a:solidFill>
            </a:rPr>
            <a:t>Practices:</a:t>
          </a:r>
        </a:p>
        <a:p>
          <a:pPr algn="l"/>
          <a:r>
            <a:rPr lang="en-US" sz="1400" b="1">
              <a:solidFill>
                <a:sysClr val="windowText" lastClr="000000"/>
              </a:solidFill>
              <a:effectLst/>
              <a:latin typeface="+mn-lt"/>
              <a:ea typeface="+mn-ea"/>
              <a:cs typeface="+mn-cs"/>
            </a:rPr>
            <a:t>Turbo Fladry</a:t>
          </a:r>
          <a:r>
            <a:rPr lang="en-US" sz="1400" b="1" baseline="0">
              <a:solidFill>
                <a:sysClr val="windowText" lastClr="000000"/>
              </a:solidFill>
              <a:effectLst/>
              <a:latin typeface="+mn-lt"/>
              <a:ea typeface="+mn-ea"/>
              <a:cs typeface="+mn-cs"/>
            </a:rPr>
            <a:t> </a:t>
          </a:r>
          <a:r>
            <a:rPr lang="en-US" sz="1400" baseline="0">
              <a:solidFill>
                <a:sysClr val="windowText" lastClr="000000"/>
              </a:solidFill>
              <a:effectLst/>
              <a:latin typeface="+mn-lt"/>
              <a:ea typeface="+mn-ea"/>
              <a:cs typeface="+mn-cs"/>
            </a:rPr>
            <a:t>- </a:t>
          </a:r>
          <a:r>
            <a:rPr lang="en-US" sz="1400">
              <a:solidFill>
                <a:sysClr val="windowText" lastClr="000000"/>
              </a:solidFill>
              <a:effectLst/>
              <a:latin typeface="+mn-lt"/>
              <a:ea typeface="+mn-ea"/>
              <a:cs typeface="+mn-cs"/>
            </a:rPr>
            <a:t>A practice that employs a string of bright red or orange nylon flags that are incorporated into electric fencing. Wolves are considered neophobic animals, which means they fear things that are unfamiliar. The waving of the bright flags in the wind discourages wolves from approaching livestock. For turbo fladry to remain effective and wolves to not become habituated to the flagging, experts maintain that fladry should not be in used for more than a couple of months. Therefore, ranchers are recommended to utilize the fladry during calving and lambing season where livestock are most vulnerable to predation.  </a:t>
          </a:r>
        </a:p>
        <a:p>
          <a:pPr algn="l"/>
          <a:endParaRPr lang="en-US" sz="1400" u="sng"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400" b="1" u="none" baseline="0">
              <a:solidFill>
                <a:sysClr val="windowText" lastClr="000000"/>
              </a:solidFill>
              <a:effectLst/>
              <a:latin typeface="+mn-lt"/>
              <a:ea typeface="+mn-ea"/>
              <a:cs typeface="+mn-cs"/>
            </a:rPr>
            <a:t>Electrified Night Penning</a:t>
          </a:r>
          <a:r>
            <a:rPr lang="en-US" sz="1400" b="0" u="none" baseline="0">
              <a:solidFill>
                <a:sysClr val="windowText" lastClr="000000"/>
              </a:solidFill>
              <a:effectLst/>
              <a:latin typeface="+mn-lt"/>
              <a:ea typeface="+mn-ea"/>
              <a:cs typeface="+mn-cs"/>
            </a:rPr>
            <a:t> - </a:t>
          </a:r>
          <a:r>
            <a:rPr lang="en-US" sz="1400">
              <a:solidFill>
                <a:sysClr val="windowText" lastClr="000000"/>
              </a:solidFill>
              <a:effectLst/>
              <a:latin typeface="+mn-lt"/>
              <a:ea typeface="+mn-ea"/>
              <a:cs typeface="+mn-cs"/>
            </a:rPr>
            <a:t>A practice where livestock can be kept in a secure location surrounded by temporary electric fencing during the night when predation is most likely to occur. This practice can be used in conjunction with other practices such as fox lights, sound alarms or livestock guardian dogs. This practice can also be used during times where livestock is more at risk of predation such as calving and lambing season.  </a:t>
          </a:r>
        </a:p>
        <a:p>
          <a:pPr algn="l"/>
          <a:endParaRPr lang="en-US" sz="1400" b="1" u="none" baseline="0">
            <a:solidFill>
              <a:sysClr val="windowText" lastClr="000000"/>
            </a:solidFill>
          </a:endParaRPr>
        </a:p>
        <a:p>
          <a:pPr algn="l"/>
          <a:r>
            <a:rPr lang="en-US" sz="1400" b="1" u="none" baseline="0">
              <a:solidFill>
                <a:sysClr val="windowText" lastClr="000000"/>
              </a:solidFill>
            </a:rPr>
            <a:t>Range Riding </a:t>
          </a:r>
          <a:r>
            <a:rPr lang="en-US" sz="1400" b="0" u="none" baseline="0">
              <a:solidFill>
                <a:sysClr val="windowText" lastClr="000000"/>
              </a:solidFill>
            </a:rPr>
            <a:t>- </a:t>
          </a:r>
          <a:r>
            <a:rPr lang="en-US" sz="1400">
              <a:solidFill>
                <a:sysClr val="windowText" lastClr="000000"/>
              </a:solidFill>
              <a:effectLst/>
              <a:latin typeface="+mn-lt"/>
              <a:ea typeface="+mn-ea"/>
              <a:cs typeface="+mn-cs"/>
            </a:rPr>
            <a:t>A predator/livestock conflict reduction tool that employs skilled laborers to monitor livestock and predator interactions. Range riding increases human presence on rural rangelands by implementing consistent monitoring of predator presence such as physical sitings, wolf tracks</a:t>
          </a:r>
          <a:r>
            <a:rPr lang="en-US" sz="1400" baseline="0">
              <a:solidFill>
                <a:sysClr val="windowText" lastClr="000000"/>
              </a:solidFill>
              <a:effectLst/>
              <a:latin typeface="+mn-lt"/>
              <a:ea typeface="+mn-ea"/>
              <a:cs typeface="+mn-cs"/>
            </a:rPr>
            <a:t> and</a:t>
          </a:r>
          <a:r>
            <a:rPr lang="en-US" sz="1400">
              <a:solidFill>
                <a:sysClr val="windowText" lastClr="000000"/>
              </a:solidFill>
              <a:effectLst/>
              <a:latin typeface="+mn-lt"/>
              <a:ea typeface="+mn-ea"/>
              <a:cs typeface="+mn-cs"/>
            </a:rPr>
            <a:t> scat, as well as monitoring herd health and behavior. Range riders can be current ranch operation owners or employees, or they can be contracted out from federal and state wildlife programs and other NGOs. The</a:t>
          </a:r>
          <a:r>
            <a:rPr lang="en-US" sz="1400" baseline="0">
              <a:solidFill>
                <a:sysClr val="windowText" lastClr="000000"/>
              </a:solidFill>
              <a:effectLst/>
              <a:latin typeface="+mn-lt"/>
              <a:ea typeface="+mn-ea"/>
              <a:cs typeface="+mn-cs"/>
            </a:rPr>
            <a:t> r</a:t>
          </a:r>
          <a:r>
            <a:rPr lang="en-US" sz="1400">
              <a:solidFill>
                <a:sysClr val="windowText" lastClr="000000"/>
              </a:solidFill>
              <a:effectLst/>
              <a:latin typeface="+mn-lt"/>
              <a:ea typeface="+mn-ea"/>
              <a:cs typeface="+mn-cs"/>
            </a:rPr>
            <a:t>ange riding season typically spans 6 months to coincide with the cattle grazing season from the beginning of May to the end of October, however this may alter slightly depending on the region.  </a:t>
          </a:r>
          <a:endParaRPr lang="en-US" sz="1400" b="1" u="none" baseline="0">
            <a:solidFill>
              <a:sysClr val="windowText" lastClr="000000"/>
            </a:solidFill>
          </a:endParaRPr>
        </a:p>
        <a:p>
          <a:pPr algn="l"/>
          <a:endParaRPr lang="en-US" sz="1400" b="1" u="none" baseline="0">
            <a:solidFill>
              <a:sysClr val="windowText" lastClr="000000"/>
            </a:solidFill>
          </a:endParaRPr>
        </a:p>
        <a:p>
          <a:pPr algn="l"/>
          <a:r>
            <a:rPr lang="en-US" sz="1400" b="1" u="none" baseline="0">
              <a:solidFill>
                <a:sysClr val="windowText" lastClr="000000"/>
              </a:solidFill>
            </a:rPr>
            <a:t>Carcass Composting </a:t>
          </a:r>
          <a:r>
            <a:rPr lang="en-US" sz="1400" b="0" u="none" baseline="0">
              <a:solidFill>
                <a:sysClr val="windowText" lastClr="000000"/>
              </a:solidFill>
            </a:rPr>
            <a:t>- </a:t>
          </a:r>
          <a:r>
            <a:rPr lang="en-US" sz="1400">
              <a:solidFill>
                <a:sysClr val="windowText" lastClr="000000"/>
              </a:solidFill>
              <a:effectLst/>
              <a:latin typeface="+mn-lt"/>
              <a:ea typeface="+mn-ea"/>
              <a:cs typeface="+mn-cs"/>
            </a:rPr>
            <a:t>A practice that involves separating a deceased carcass or bone pile from an active ranching operation and properly decomposing the remains so that they can be reused for fertilizer or further carcass composting. Cattle carcasses as well as aged bone piles can act as an attractant for predators such as wolves. Thus, relocating carcasses to off-site centralized facilities can help in limiting the presence of wolves. </a:t>
          </a:r>
          <a:endParaRPr lang="en-US" sz="1400" b="1" u="none" baseline="0">
            <a:solidFill>
              <a:sysClr val="windowText" lastClr="000000"/>
            </a:solidFill>
          </a:endParaRPr>
        </a:p>
        <a:p>
          <a:pPr algn="l"/>
          <a:endParaRPr lang="en-US" sz="1400" b="1" u="none" baseline="0">
            <a:solidFill>
              <a:sysClr val="windowText" lastClr="000000"/>
            </a:solidFill>
          </a:endParaRPr>
        </a:p>
        <a:p>
          <a:pPr algn="l"/>
          <a:r>
            <a:rPr lang="en-US" sz="1400" b="1" u="none" baseline="0">
              <a:solidFill>
                <a:sysClr val="windowText" lastClr="000000"/>
              </a:solidFill>
            </a:rPr>
            <a:t>Livestock Guardian Dogs</a:t>
          </a:r>
          <a:r>
            <a:rPr lang="en-US" sz="1400" b="0" u="none" baseline="0">
              <a:solidFill>
                <a:sysClr val="windowText" lastClr="000000"/>
              </a:solidFill>
            </a:rPr>
            <a:t> - </a:t>
          </a:r>
          <a:r>
            <a:rPr lang="en-US" sz="1400">
              <a:solidFill>
                <a:sysClr val="windowText" lastClr="000000"/>
              </a:solidFill>
              <a:effectLst/>
              <a:latin typeface="+mn-lt"/>
              <a:ea typeface="+mn-ea"/>
              <a:cs typeface="+mn-cs"/>
            </a:rPr>
            <a:t>The presence of livestock guardian dogs is a livestock-predator conflict reduction measure that utilizes large dog breeds that have historically been bred to protect domesticated animals such as livestock. Unlike pet dogs, LGDs are bonded and cohabitate with their livestock, acting as a full-fledged member of the flock or herd. These dogs serve as an extra layer of protection to livestock by conducting perimeter patrols, marking territory, barking/alerting and fighting or chasing predators.   </a:t>
          </a:r>
          <a:endParaRPr lang="en-US" sz="1400" b="1" u="none" baseline="0">
            <a:solidFill>
              <a:sysClr val="windowText" lastClr="000000"/>
            </a:solidFill>
          </a:endParaRPr>
        </a:p>
        <a:p>
          <a:pPr algn="l"/>
          <a:endParaRPr lang="en-US" sz="1400" u="sng" baseline="0">
            <a:solidFill>
              <a:sysClr val="windowText" lastClr="000000"/>
            </a:solidFill>
          </a:endParaRPr>
        </a:p>
        <a:p>
          <a:pPr algn="l"/>
          <a:r>
            <a:rPr lang="en-US" sz="1600" u="sng" baseline="0">
              <a:solidFill>
                <a:sysClr val="windowText" lastClr="000000"/>
              </a:solidFill>
            </a:rPr>
            <a:t>Devices:</a:t>
          </a:r>
        </a:p>
        <a:p>
          <a:pPr algn="l"/>
          <a:r>
            <a:rPr lang="en-US" sz="1400" b="1" u="none" baseline="0">
              <a:solidFill>
                <a:sysClr val="windowText" lastClr="000000"/>
              </a:solidFill>
            </a:rPr>
            <a:t>Fox Lights</a:t>
          </a:r>
          <a:r>
            <a:rPr lang="en-US" sz="1400" b="0" u="none" baseline="0">
              <a:solidFill>
                <a:sysClr val="windowText" lastClr="000000"/>
              </a:solidFill>
            </a:rPr>
            <a:t> - </a:t>
          </a:r>
          <a:r>
            <a:rPr lang="en-US" sz="1400">
              <a:solidFill>
                <a:sysClr val="windowText" lastClr="000000"/>
              </a:solidFill>
              <a:effectLst/>
              <a:latin typeface="+mn-lt"/>
              <a:ea typeface="+mn-ea"/>
              <a:cs typeface="+mn-cs"/>
            </a:rPr>
            <a:t>A predator deterrent that is meant to mock the light that would come from someone walking around patrolling with a flashlight. Depending on the brand purchased, the fox lights will flash blue, white and red light periodically in specific sequences. A sensor automatically turns the light on at night and off at dawn and can be seen from approximately 2 kilometers away.  </a:t>
          </a:r>
        </a:p>
        <a:p>
          <a:pPr algn="l"/>
          <a:endParaRPr lang="en-US" sz="1400" b="1" u="none" baseline="0">
            <a:solidFill>
              <a:sysClr val="windowText" lastClr="000000"/>
            </a:solidFill>
          </a:endParaRPr>
        </a:p>
        <a:p>
          <a:pPr algn="l"/>
          <a:r>
            <a:rPr lang="en-US" sz="1400" b="1" u="none" baseline="0">
              <a:solidFill>
                <a:sysClr val="windowText" lastClr="000000"/>
              </a:solidFill>
            </a:rPr>
            <a:t>Solar Sound Alarms </a:t>
          </a:r>
          <a:r>
            <a:rPr lang="en-US" sz="1400" b="0" u="none" baseline="0">
              <a:solidFill>
                <a:sysClr val="windowText" lastClr="000000"/>
              </a:solidFill>
            </a:rPr>
            <a:t>- </a:t>
          </a:r>
          <a:r>
            <a:rPr lang="en-US" sz="1400">
              <a:solidFill>
                <a:sysClr val="windowText" lastClr="000000"/>
              </a:solidFill>
              <a:effectLst/>
              <a:latin typeface="+mn-lt"/>
              <a:ea typeface="+mn-ea"/>
              <a:cs typeface="+mn-cs"/>
            </a:rPr>
            <a:t>A predator deterrent device that typically has a sensor to detect motion of unwanted animals that reach a range of 16-26 feet of a specific location. When triggered, the alarm will emit a 130 dB sound alarm and strobe light. These alarms can be either solar or USB charged.  </a:t>
          </a:r>
        </a:p>
        <a:p>
          <a:pPr algn="l"/>
          <a:endParaRPr lang="en-US" sz="1400" b="1" u="none" baseline="0">
            <a:solidFill>
              <a:sysClr val="windowText" lastClr="000000"/>
            </a:solidFill>
          </a:endParaRPr>
        </a:p>
        <a:p>
          <a:pPr algn="l"/>
          <a:r>
            <a:rPr lang="en-US" sz="1400" b="1" u="none">
              <a:solidFill>
                <a:sysClr val="windowText" lastClr="000000"/>
              </a:solidFill>
            </a:rPr>
            <a:t>Game</a:t>
          </a:r>
          <a:r>
            <a:rPr lang="en-US" sz="1400" b="1" u="none" baseline="0">
              <a:solidFill>
                <a:sysClr val="windowText" lastClr="000000"/>
              </a:solidFill>
            </a:rPr>
            <a:t> Cameras </a:t>
          </a:r>
          <a:r>
            <a:rPr lang="en-US" sz="1400" b="0" u="none" baseline="0">
              <a:solidFill>
                <a:sysClr val="windowText" lastClr="000000"/>
              </a:solidFill>
            </a:rPr>
            <a:t>- </a:t>
          </a:r>
          <a:r>
            <a:rPr lang="en-US" sz="1400">
              <a:solidFill>
                <a:sysClr val="windowText" lastClr="000000"/>
              </a:solidFill>
              <a:effectLst/>
              <a:latin typeface="+mn-lt"/>
              <a:ea typeface="+mn-ea"/>
              <a:cs typeface="+mn-cs"/>
            </a:rPr>
            <a:t>Unlike a traditional deterrent device, a game camera will not deter predators in the moment, but reviewed footage can give insight into predator movement and frequency allowing better opportunity to more effectively employ other deterrents and practices.  </a:t>
          </a:r>
          <a:endParaRPr lang="en-US" sz="1400" b="1" u="none">
            <a:solidFill>
              <a:sysClr val="windowText" lastClr="000000"/>
            </a:solidFill>
          </a:endParaRPr>
        </a:p>
      </xdr:txBody>
    </xdr:sp>
    <xdr:clientData/>
  </xdr:twoCellAnchor>
  <xdr:twoCellAnchor>
    <xdr:from>
      <xdr:col>12</xdr:col>
      <xdr:colOff>203924</xdr:colOff>
      <xdr:row>49</xdr:row>
      <xdr:rowOff>71416</xdr:rowOff>
    </xdr:from>
    <xdr:to>
      <xdr:col>14</xdr:col>
      <xdr:colOff>274552</xdr:colOff>
      <xdr:row>55</xdr:row>
      <xdr:rowOff>79033</xdr:rowOff>
    </xdr:to>
    <xdr:sp macro="" textlink="">
      <xdr:nvSpPr>
        <xdr:cNvPr id="7" name="Rectangle: Rounded Corners 6">
          <a:hlinkClick xmlns:r="http://schemas.openxmlformats.org/officeDocument/2006/relationships" r:id="rId1"/>
          <a:extLst>
            <a:ext uri="{FF2B5EF4-FFF2-40B4-BE49-F238E27FC236}">
              <a16:creationId xmlns:a16="http://schemas.microsoft.com/office/drawing/2014/main" id="{F2D34499-91CB-4F27-AB3A-DB21032894FF}"/>
            </a:ext>
          </a:extLst>
        </xdr:cNvPr>
        <xdr:cNvSpPr/>
      </xdr:nvSpPr>
      <xdr:spPr>
        <a:xfrm>
          <a:off x="7925524" y="9198483"/>
          <a:ext cx="1357561" cy="1125217"/>
        </a:xfrm>
        <a:prstGeom prst="roundRect">
          <a:avLst/>
        </a:prstGeom>
        <a:solidFill>
          <a:schemeClr val="accent6">
            <a:lumMod val="60000"/>
            <a:lumOff val="40000"/>
          </a:schemeClr>
        </a:solidFill>
        <a:ln>
          <a:solidFill>
            <a:schemeClr val="accent6">
              <a:lumMod val="60000"/>
              <a:lumOff val="40000"/>
            </a:schemeClr>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solidFill>
                <a:sysClr val="windowText" lastClr="000000"/>
              </a:solidFill>
            </a:rPr>
            <a:t>Electrified Night</a:t>
          </a:r>
          <a:r>
            <a:rPr lang="en-US" sz="1600" b="1" baseline="0">
              <a:solidFill>
                <a:sysClr val="windowText" lastClr="000000"/>
              </a:solidFill>
            </a:rPr>
            <a:t> Penning</a:t>
          </a:r>
          <a:endParaRPr lang="en-US" sz="1600" b="1">
            <a:solidFill>
              <a:sysClr val="windowText" lastClr="000000"/>
            </a:solidFill>
          </a:endParaRPr>
        </a:p>
      </xdr:txBody>
    </xdr:sp>
    <xdr:clientData/>
  </xdr:twoCellAnchor>
  <xdr:twoCellAnchor>
    <xdr:from>
      <xdr:col>9</xdr:col>
      <xdr:colOff>21163</xdr:colOff>
      <xdr:row>58</xdr:row>
      <xdr:rowOff>85912</xdr:rowOff>
    </xdr:from>
    <xdr:to>
      <xdr:col>11</xdr:col>
      <xdr:colOff>91790</xdr:colOff>
      <xdr:row>64</xdr:row>
      <xdr:rowOff>88058</xdr:rowOff>
    </xdr:to>
    <xdr:sp macro="" textlink="">
      <xdr:nvSpPr>
        <xdr:cNvPr id="16" name="Rectangle: Rounded Corners 15">
          <a:hlinkClick xmlns:r="http://schemas.openxmlformats.org/officeDocument/2006/relationships" r:id="rId2"/>
          <a:extLst>
            <a:ext uri="{FF2B5EF4-FFF2-40B4-BE49-F238E27FC236}">
              <a16:creationId xmlns:a16="http://schemas.microsoft.com/office/drawing/2014/main" id="{3BB7610C-2FB4-4F37-AD29-465B950D1BA8}"/>
            </a:ext>
          </a:extLst>
        </xdr:cNvPr>
        <xdr:cNvSpPr/>
      </xdr:nvSpPr>
      <xdr:spPr>
        <a:xfrm>
          <a:off x="5812363" y="10889379"/>
          <a:ext cx="1357560" cy="1119746"/>
        </a:xfrm>
        <a:prstGeom prst="roundRect">
          <a:avLst/>
        </a:prstGeom>
        <a:solidFill>
          <a:schemeClr val="accent6">
            <a:lumMod val="60000"/>
            <a:lumOff val="40000"/>
          </a:schemeClr>
        </a:solidFill>
        <a:ln>
          <a:solidFill>
            <a:schemeClr val="accent6">
              <a:lumMod val="60000"/>
              <a:lumOff val="40000"/>
            </a:schemeClr>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solidFill>
                <a:sysClr val="windowText" lastClr="000000"/>
              </a:solidFill>
            </a:rPr>
            <a:t>Carcass</a:t>
          </a:r>
          <a:r>
            <a:rPr lang="en-US" sz="1600" b="1" baseline="0">
              <a:solidFill>
                <a:sysClr val="windowText" lastClr="000000"/>
              </a:solidFill>
            </a:rPr>
            <a:t> Composting</a:t>
          </a:r>
          <a:endParaRPr lang="en-US" sz="1600" b="1">
            <a:solidFill>
              <a:sysClr val="windowText" lastClr="000000"/>
            </a:solidFill>
          </a:endParaRPr>
        </a:p>
      </xdr:txBody>
    </xdr:sp>
    <xdr:clientData/>
  </xdr:twoCellAnchor>
  <xdr:twoCellAnchor>
    <xdr:from>
      <xdr:col>9</xdr:col>
      <xdr:colOff>21163</xdr:colOff>
      <xdr:row>49</xdr:row>
      <xdr:rowOff>71416</xdr:rowOff>
    </xdr:from>
    <xdr:to>
      <xdr:col>11</xdr:col>
      <xdr:colOff>91790</xdr:colOff>
      <xdr:row>55</xdr:row>
      <xdr:rowOff>79033</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0F3B0A3B-F96C-4DFA-B3AB-B35E4C3B244E}"/>
            </a:ext>
          </a:extLst>
        </xdr:cNvPr>
        <xdr:cNvSpPr/>
      </xdr:nvSpPr>
      <xdr:spPr>
        <a:xfrm>
          <a:off x="5812363" y="9198483"/>
          <a:ext cx="1357560" cy="1125217"/>
        </a:xfrm>
        <a:prstGeom prst="roundRect">
          <a:avLst/>
        </a:prstGeom>
        <a:solidFill>
          <a:schemeClr val="accent6">
            <a:lumMod val="60000"/>
            <a:lumOff val="40000"/>
          </a:schemeClr>
        </a:solidFill>
        <a:ln>
          <a:solidFill>
            <a:schemeClr val="accent6">
              <a:lumMod val="60000"/>
              <a:lumOff val="40000"/>
            </a:schemeClr>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solidFill>
                <a:sysClr val="windowText" lastClr="000000"/>
              </a:solidFill>
            </a:rPr>
            <a:t>Turbo</a:t>
          </a:r>
        </a:p>
        <a:p>
          <a:pPr algn="ctr"/>
          <a:r>
            <a:rPr lang="en-US" sz="1600" b="1">
              <a:solidFill>
                <a:sysClr val="windowText" lastClr="000000"/>
              </a:solidFill>
            </a:rPr>
            <a:t> Fladry</a:t>
          </a:r>
        </a:p>
      </xdr:txBody>
    </xdr:sp>
    <xdr:clientData/>
  </xdr:twoCellAnchor>
  <xdr:twoCellAnchor>
    <xdr:from>
      <xdr:col>15</xdr:col>
      <xdr:colOff>298766</xdr:colOff>
      <xdr:row>49</xdr:row>
      <xdr:rowOff>71416</xdr:rowOff>
    </xdr:from>
    <xdr:to>
      <xdr:col>17</xdr:col>
      <xdr:colOff>369395</xdr:colOff>
      <xdr:row>55</xdr:row>
      <xdr:rowOff>79033</xdr:rowOff>
    </xdr:to>
    <xdr:sp macro="" textlink="">
      <xdr:nvSpPr>
        <xdr:cNvPr id="18" name="Rectangle: Rounded Corners 17">
          <a:hlinkClick xmlns:r="http://schemas.openxmlformats.org/officeDocument/2006/relationships" r:id="rId4"/>
          <a:extLst>
            <a:ext uri="{FF2B5EF4-FFF2-40B4-BE49-F238E27FC236}">
              <a16:creationId xmlns:a16="http://schemas.microsoft.com/office/drawing/2014/main" id="{D8373C32-D45A-498D-AC6A-B0CE30F38B8F}"/>
            </a:ext>
          </a:extLst>
        </xdr:cNvPr>
        <xdr:cNvSpPr/>
      </xdr:nvSpPr>
      <xdr:spPr>
        <a:xfrm>
          <a:off x="9950766" y="9198483"/>
          <a:ext cx="1357562" cy="1125217"/>
        </a:xfrm>
        <a:prstGeom prst="roundRect">
          <a:avLst/>
        </a:prstGeom>
        <a:solidFill>
          <a:schemeClr val="accent6">
            <a:lumMod val="60000"/>
            <a:lumOff val="40000"/>
          </a:schemeClr>
        </a:solidFill>
        <a:ln>
          <a:solidFill>
            <a:schemeClr val="accent6">
              <a:lumMod val="60000"/>
              <a:lumOff val="40000"/>
            </a:schemeClr>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solidFill>
                <a:sysClr val="windowText" lastClr="000000"/>
              </a:solidFill>
            </a:rPr>
            <a:t>Range Riding</a:t>
          </a:r>
        </a:p>
      </xdr:txBody>
    </xdr:sp>
    <xdr:clientData/>
  </xdr:twoCellAnchor>
  <xdr:twoCellAnchor>
    <xdr:from>
      <xdr:col>12</xdr:col>
      <xdr:colOff>203924</xdr:colOff>
      <xdr:row>58</xdr:row>
      <xdr:rowOff>85912</xdr:rowOff>
    </xdr:from>
    <xdr:to>
      <xdr:col>14</xdr:col>
      <xdr:colOff>274552</xdr:colOff>
      <xdr:row>64</xdr:row>
      <xdr:rowOff>88058</xdr:rowOff>
    </xdr:to>
    <xdr:sp macro="" textlink="">
      <xdr:nvSpPr>
        <xdr:cNvPr id="19" name="Rectangle: Rounded Corners 18">
          <a:hlinkClick xmlns:r="http://schemas.openxmlformats.org/officeDocument/2006/relationships" r:id="rId5"/>
          <a:extLst>
            <a:ext uri="{FF2B5EF4-FFF2-40B4-BE49-F238E27FC236}">
              <a16:creationId xmlns:a16="http://schemas.microsoft.com/office/drawing/2014/main" id="{6331BF18-E558-4476-B1E7-1579F34C971B}"/>
            </a:ext>
          </a:extLst>
        </xdr:cNvPr>
        <xdr:cNvSpPr/>
      </xdr:nvSpPr>
      <xdr:spPr>
        <a:xfrm>
          <a:off x="7925524" y="10889379"/>
          <a:ext cx="1357561" cy="1119746"/>
        </a:xfrm>
        <a:prstGeom prst="roundRect">
          <a:avLst/>
        </a:prstGeom>
        <a:solidFill>
          <a:schemeClr val="accent6">
            <a:lumMod val="60000"/>
            <a:lumOff val="40000"/>
          </a:schemeClr>
        </a:solidFill>
        <a:ln>
          <a:solidFill>
            <a:schemeClr val="accent6">
              <a:lumMod val="60000"/>
              <a:lumOff val="40000"/>
            </a:schemeClr>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solidFill>
                <a:sysClr val="windowText" lastClr="000000"/>
              </a:solidFill>
            </a:rPr>
            <a:t>Livestock Guardian Dogs</a:t>
          </a:r>
        </a:p>
      </xdr:txBody>
    </xdr:sp>
    <xdr:clientData/>
  </xdr:twoCellAnchor>
  <xdr:twoCellAnchor>
    <xdr:from>
      <xdr:col>15</xdr:col>
      <xdr:colOff>298767</xdr:colOff>
      <xdr:row>58</xdr:row>
      <xdr:rowOff>85912</xdr:rowOff>
    </xdr:from>
    <xdr:to>
      <xdr:col>17</xdr:col>
      <xdr:colOff>369395</xdr:colOff>
      <xdr:row>64</xdr:row>
      <xdr:rowOff>88058</xdr:rowOff>
    </xdr:to>
    <xdr:sp macro="" textlink="">
      <xdr:nvSpPr>
        <xdr:cNvPr id="20" name="Rectangle: Rounded Corners 19">
          <a:hlinkClick xmlns:r="http://schemas.openxmlformats.org/officeDocument/2006/relationships" r:id="rId6"/>
          <a:extLst>
            <a:ext uri="{FF2B5EF4-FFF2-40B4-BE49-F238E27FC236}">
              <a16:creationId xmlns:a16="http://schemas.microsoft.com/office/drawing/2014/main" id="{8CCC3C3E-1587-4A9B-ACCC-4D3EAD680B9C}"/>
            </a:ext>
          </a:extLst>
        </xdr:cNvPr>
        <xdr:cNvSpPr/>
      </xdr:nvSpPr>
      <xdr:spPr>
        <a:xfrm>
          <a:off x="9950767" y="10889379"/>
          <a:ext cx="1357561" cy="1119746"/>
        </a:xfrm>
        <a:prstGeom prst="roundRect">
          <a:avLst/>
        </a:prstGeom>
        <a:solidFill>
          <a:schemeClr val="accent6">
            <a:lumMod val="60000"/>
            <a:lumOff val="40000"/>
          </a:schemeClr>
        </a:solidFill>
        <a:ln>
          <a:solidFill>
            <a:schemeClr val="accent6">
              <a:lumMod val="60000"/>
              <a:lumOff val="40000"/>
            </a:schemeClr>
          </a:solid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solidFill>
                <a:sysClr val="windowText" lastClr="000000"/>
              </a:solidFill>
            </a:rPr>
            <a:t>Deterrent</a:t>
          </a:r>
          <a:r>
            <a:rPr lang="en-US" sz="1600" b="1" baseline="0">
              <a:solidFill>
                <a:sysClr val="windowText" lastClr="000000"/>
              </a:solidFill>
            </a:rPr>
            <a:t> Devices</a:t>
          </a:r>
          <a:endParaRPr lang="en-US" sz="16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49</xdr:col>
      <xdr:colOff>381343</xdr:colOff>
      <xdr:row>11</xdr:row>
      <xdr:rowOff>167607</xdr:rowOff>
    </xdr:from>
    <xdr:to>
      <xdr:col>63</xdr:col>
      <xdr:colOff>621077</xdr:colOff>
      <xdr:row>34</xdr:row>
      <xdr:rowOff>39063</xdr:rowOff>
    </xdr:to>
    <xdr:sp macro="" textlink="">
      <xdr:nvSpPr>
        <xdr:cNvPr id="2" name="Arc 1">
          <a:extLst>
            <a:ext uri="{FF2B5EF4-FFF2-40B4-BE49-F238E27FC236}">
              <a16:creationId xmlns:a16="http://schemas.microsoft.com/office/drawing/2014/main" id="{9CE51286-88B1-45A0-82E0-F7BB5EA5BCBC}"/>
            </a:ext>
          </a:extLst>
        </xdr:cNvPr>
        <xdr:cNvSpPr/>
      </xdr:nvSpPr>
      <xdr:spPr>
        <a:xfrm rot="15507455">
          <a:off x="28323237" y="-167027"/>
          <a:ext cx="4367256" cy="9783784"/>
        </a:xfrm>
        <a:prstGeom prst="arc">
          <a:avLst>
            <a:gd name="adj1" fmla="val 16843927"/>
            <a:gd name="adj2" fmla="val 254168"/>
          </a:avLst>
        </a:prstGeom>
        <a:ln w="38100">
          <a:solidFill>
            <a:schemeClr val="accent2"/>
          </a:solidFill>
        </a:ln>
      </xdr:spPr>
      <xdr:style>
        <a:lnRef idx="2">
          <a:schemeClr val="dk1"/>
        </a:lnRef>
        <a:fillRef idx="0">
          <a:schemeClr val="dk1"/>
        </a:fillRef>
        <a:effectRef idx="1">
          <a:schemeClr val="dk1"/>
        </a:effectRef>
        <a:fontRef idx="minor">
          <a:schemeClr val="tx1"/>
        </a:fontRef>
      </xdr:style>
      <xdr:txBody>
        <a:bodyPr rtlCol="0" anchor="ctr"/>
        <a:lstStyle/>
        <a:p>
          <a:pPr algn="l"/>
          <a:endParaRPr lang="en-US" sz="1100" b="1"/>
        </a:p>
      </xdr:txBody>
    </xdr:sp>
    <xdr:clientData/>
  </xdr:twoCellAnchor>
  <xdr:twoCellAnchor>
    <xdr:from>
      <xdr:col>56</xdr:col>
      <xdr:colOff>2540</xdr:colOff>
      <xdr:row>11</xdr:row>
      <xdr:rowOff>168088</xdr:rowOff>
    </xdr:from>
    <xdr:to>
      <xdr:col>58</xdr:col>
      <xdr:colOff>5603</xdr:colOff>
      <xdr:row>11</xdr:row>
      <xdr:rowOff>180340</xdr:rowOff>
    </xdr:to>
    <xdr:cxnSp macro="">
      <xdr:nvCxnSpPr>
        <xdr:cNvPr id="3" name="Straight Connector 2">
          <a:extLst>
            <a:ext uri="{FF2B5EF4-FFF2-40B4-BE49-F238E27FC236}">
              <a16:creationId xmlns:a16="http://schemas.microsoft.com/office/drawing/2014/main" id="{EAC045E4-A72E-498A-A286-459CD8E3ACF3}"/>
            </a:ext>
          </a:extLst>
        </xdr:cNvPr>
        <xdr:cNvCxnSpPr/>
      </xdr:nvCxnSpPr>
      <xdr:spPr>
        <a:xfrm flipV="1">
          <a:off x="30231080" y="2541718"/>
          <a:ext cx="1351803" cy="12252"/>
        </a:xfrm>
        <a:prstGeom prst="line">
          <a:avLst/>
        </a:prstGeom>
        <a:ln w="38100">
          <a:solidFill>
            <a:schemeClr val="accent2"/>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50</xdr:col>
      <xdr:colOff>12700</xdr:colOff>
      <xdr:row>24</xdr:row>
      <xdr:rowOff>0</xdr:rowOff>
    </xdr:from>
    <xdr:to>
      <xdr:col>50</xdr:col>
      <xdr:colOff>18753</xdr:colOff>
      <xdr:row>26</xdr:row>
      <xdr:rowOff>183361</xdr:rowOff>
    </xdr:to>
    <xdr:cxnSp macro="">
      <xdr:nvCxnSpPr>
        <xdr:cNvPr id="4" name="Straight Connector 3">
          <a:extLst>
            <a:ext uri="{FF2B5EF4-FFF2-40B4-BE49-F238E27FC236}">
              <a16:creationId xmlns:a16="http://schemas.microsoft.com/office/drawing/2014/main" id="{4DF12BDC-4C74-47B8-8B0E-5A2CD3521B5A}"/>
            </a:ext>
          </a:extLst>
        </xdr:cNvPr>
        <xdr:cNvCxnSpPr/>
      </xdr:nvCxnSpPr>
      <xdr:spPr>
        <a:xfrm flipH="1" flipV="1">
          <a:off x="25920700" y="4751070"/>
          <a:ext cx="6053" cy="549121"/>
        </a:xfrm>
        <a:prstGeom prst="line">
          <a:avLst/>
        </a:prstGeom>
        <a:ln w="38100">
          <a:solidFill>
            <a:schemeClr val="accent2"/>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52</xdr:col>
      <xdr:colOff>584587</xdr:colOff>
      <xdr:row>16</xdr:row>
      <xdr:rowOff>169011</xdr:rowOff>
    </xdr:from>
    <xdr:to>
      <xdr:col>61</xdr:col>
      <xdr:colOff>580285</xdr:colOff>
      <xdr:row>23</xdr:row>
      <xdr:rowOff>28358</xdr:rowOff>
    </xdr:to>
    <xdr:sp macro="" textlink="">
      <xdr:nvSpPr>
        <xdr:cNvPr id="5" name="Arc 4">
          <a:extLst>
            <a:ext uri="{FF2B5EF4-FFF2-40B4-BE49-F238E27FC236}">
              <a16:creationId xmlns:a16="http://schemas.microsoft.com/office/drawing/2014/main" id="{1004462B-B316-46ED-9F98-7DC25FC3C12E}"/>
            </a:ext>
          </a:extLst>
        </xdr:cNvPr>
        <xdr:cNvSpPr/>
      </xdr:nvSpPr>
      <xdr:spPr>
        <a:xfrm rot="15350439">
          <a:off x="30481252" y="999996"/>
          <a:ext cx="1139507" cy="6053598"/>
        </a:xfrm>
        <a:prstGeom prst="arc">
          <a:avLst/>
        </a:prstGeom>
        <a:ln w="38100"/>
      </xdr:spPr>
      <xdr:style>
        <a:lnRef idx="2">
          <a:schemeClr val="accent1"/>
        </a:lnRef>
        <a:fillRef idx="0">
          <a:schemeClr val="accent1"/>
        </a:fillRef>
        <a:effectRef idx="1">
          <a:schemeClr val="accent1"/>
        </a:effectRef>
        <a:fontRef idx="minor">
          <a:schemeClr val="tx1"/>
        </a:fontRef>
      </xdr:style>
      <xdr:txBody>
        <a:bodyPr rtlCol="0" anchor="ctr"/>
        <a:lstStyle/>
        <a:p>
          <a:pPr algn="l"/>
          <a:endParaRPr lang="en-US" sz="1100"/>
        </a:p>
      </xdr:txBody>
    </xdr:sp>
    <xdr:clientData/>
  </xdr:twoCellAnchor>
  <xdr:twoCellAnchor>
    <xdr:from>
      <xdr:col>52</xdr:col>
      <xdr:colOff>689123</xdr:colOff>
      <xdr:row>23</xdr:row>
      <xdr:rowOff>127529</xdr:rowOff>
    </xdr:from>
    <xdr:to>
      <xdr:col>53</xdr:col>
      <xdr:colOff>0</xdr:colOff>
      <xdr:row>26</xdr:row>
      <xdr:rowOff>175592</xdr:rowOff>
    </xdr:to>
    <xdr:cxnSp macro="">
      <xdr:nvCxnSpPr>
        <xdr:cNvPr id="6" name="Straight Connector 5">
          <a:extLst>
            <a:ext uri="{FF2B5EF4-FFF2-40B4-BE49-F238E27FC236}">
              <a16:creationId xmlns:a16="http://schemas.microsoft.com/office/drawing/2014/main" id="{431387F9-9B81-421E-9EAE-D3AC7858B4CF}"/>
            </a:ext>
          </a:extLst>
        </xdr:cNvPr>
        <xdr:cNvCxnSpPr/>
      </xdr:nvCxnSpPr>
      <xdr:spPr>
        <a:xfrm>
          <a:off x="28113503" y="4695719"/>
          <a:ext cx="487" cy="596703"/>
        </a:xfrm>
        <a:prstGeom prst="line">
          <a:avLst/>
        </a:prstGeom>
        <a:ln w="38100"/>
      </xdr:spPr>
      <xdr:style>
        <a:lnRef idx="2">
          <a:schemeClr val="accent1"/>
        </a:lnRef>
        <a:fillRef idx="0">
          <a:schemeClr val="accent1"/>
        </a:fillRef>
        <a:effectRef idx="1">
          <a:schemeClr val="accent1"/>
        </a:effectRef>
        <a:fontRef idx="minor">
          <a:schemeClr val="tx1"/>
        </a:fontRef>
      </xdr:style>
    </xdr:cxnSp>
    <xdr:clientData/>
  </xdr:twoCellAnchor>
  <xdr:twoCellAnchor>
    <xdr:from>
      <xdr:col>53</xdr:col>
      <xdr:colOff>25743</xdr:colOff>
      <xdr:row>19</xdr:row>
      <xdr:rowOff>127630</xdr:rowOff>
    </xdr:from>
    <xdr:to>
      <xdr:col>62</xdr:col>
      <xdr:colOff>298738</xdr:colOff>
      <xdr:row>30</xdr:row>
      <xdr:rowOff>207023</xdr:rowOff>
    </xdr:to>
    <xdr:sp macro="" textlink="">
      <xdr:nvSpPr>
        <xdr:cNvPr id="7" name="Arc 6">
          <a:extLst>
            <a:ext uri="{FF2B5EF4-FFF2-40B4-BE49-F238E27FC236}">
              <a16:creationId xmlns:a16="http://schemas.microsoft.com/office/drawing/2014/main" id="{4D3C8928-DB20-4E8F-9692-77E36EEA971A}"/>
            </a:ext>
          </a:extLst>
        </xdr:cNvPr>
        <xdr:cNvSpPr/>
      </xdr:nvSpPr>
      <xdr:spPr>
        <a:xfrm rot="15041381">
          <a:off x="30187254" y="1916779"/>
          <a:ext cx="2201563" cy="6296605"/>
        </a:xfrm>
        <a:prstGeom prst="arc">
          <a:avLst>
            <a:gd name="adj1" fmla="val 17280491"/>
            <a:gd name="adj2" fmla="val 0"/>
          </a:avLst>
        </a:prstGeom>
        <a:ln w="38100">
          <a:solidFill>
            <a:schemeClr val="accent6">
              <a:lumMod val="75000"/>
            </a:schemeClr>
          </a:solidFill>
        </a:ln>
      </xdr:spPr>
      <xdr:style>
        <a:lnRef idx="2">
          <a:schemeClr val="accent1"/>
        </a:lnRef>
        <a:fillRef idx="0">
          <a:schemeClr val="accent1"/>
        </a:fillRef>
        <a:effectRef idx="1">
          <a:schemeClr val="accent1"/>
        </a:effectRef>
        <a:fontRef idx="minor">
          <a:schemeClr val="tx1"/>
        </a:fontRef>
      </xdr:style>
      <xdr:txBody>
        <a:bodyPr rtlCol="0" anchor="ctr"/>
        <a:lstStyle/>
        <a:p>
          <a:pPr algn="l"/>
          <a:endParaRPr lang="en-US" sz="1100"/>
        </a:p>
      </xdr:txBody>
    </xdr:sp>
    <xdr:clientData/>
  </xdr:twoCellAnchor>
  <xdr:twoCellAnchor>
    <xdr:from>
      <xdr:col>53</xdr:col>
      <xdr:colOff>753243</xdr:colOff>
      <xdr:row>25</xdr:row>
      <xdr:rowOff>176050</xdr:rowOff>
    </xdr:from>
    <xdr:to>
      <xdr:col>53</xdr:col>
      <xdr:colOff>753243</xdr:colOff>
      <xdr:row>27</xdr:row>
      <xdr:rowOff>1226</xdr:rowOff>
    </xdr:to>
    <xdr:cxnSp macro="">
      <xdr:nvCxnSpPr>
        <xdr:cNvPr id="8" name="Straight Connector 7">
          <a:extLst>
            <a:ext uri="{FF2B5EF4-FFF2-40B4-BE49-F238E27FC236}">
              <a16:creationId xmlns:a16="http://schemas.microsoft.com/office/drawing/2014/main" id="{537C7A6A-244C-4DE1-B487-3F1BD0251227}"/>
            </a:ext>
          </a:extLst>
        </xdr:cNvPr>
        <xdr:cNvCxnSpPr/>
      </xdr:nvCxnSpPr>
      <xdr:spPr>
        <a:xfrm>
          <a:off x="28867233" y="5110000"/>
          <a:ext cx="0" cy="194746"/>
        </a:xfrm>
        <a:prstGeom prst="line">
          <a:avLst/>
        </a:prstGeom>
        <a:ln w="38100">
          <a:solidFill>
            <a:schemeClr val="accent6">
              <a:lumMod val="7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57</xdr:col>
      <xdr:colOff>18000</xdr:colOff>
      <xdr:row>20</xdr:row>
      <xdr:rowOff>6000</xdr:rowOff>
    </xdr:from>
    <xdr:to>
      <xdr:col>57</xdr:col>
      <xdr:colOff>687000</xdr:colOff>
      <xdr:row>20</xdr:row>
      <xdr:rowOff>6000</xdr:rowOff>
    </xdr:to>
    <xdr:cxnSp macro="">
      <xdr:nvCxnSpPr>
        <xdr:cNvPr id="9" name="Straight Connector 8">
          <a:extLst>
            <a:ext uri="{FF2B5EF4-FFF2-40B4-BE49-F238E27FC236}">
              <a16:creationId xmlns:a16="http://schemas.microsoft.com/office/drawing/2014/main" id="{1C65F4A0-D28E-43DA-A371-C690B6CE7648}"/>
            </a:ext>
          </a:extLst>
        </xdr:cNvPr>
        <xdr:cNvCxnSpPr/>
      </xdr:nvCxnSpPr>
      <xdr:spPr>
        <a:xfrm>
          <a:off x="30920910" y="4025550"/>
          <a:ext cx="657570" cy="0"/>
        </a:xfrm>
        <a:prstGeom prst="line">
          <a:avLst/>
        </a:prstGeom>
        <a:ln w="38100">
          <a:solidFill>
            <a:schemeClr val="accent6">
              <a:lumMod val="7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50</xdr:col>
      <xdr:colOff>530497</xdr:colOff>
      <xdr:row>12</xdr:row>
      <xdr:rowOff>156654</xdr:rowOff>
    </xdr:from>
    <xdr:to>
      <xdr:col>64</xdr:col>
      <xdr:colOff>403615</xdr:colOff>
      <xdr:row>21</xdr:row>
      <xdr:rowOff>94298</xdr:rowOff>
    </xdr:to>
    <xdr:sp macro="" textlink="">
      <xdr:nvSpPr>
        <xdr:cNvPr id="10" name="Arc 9">
          <a:extLst>
            <a:ext uri="{FF2B5EF4-FFF2-40B4-BE49-F238E27FC236}">
              <a16:creationId xmlns:a16="http://schemas.microsoft.com/office/drawing/2014/main" id="{30479835-1AA6-44ED-94FD-7D91A1D136EF}"/>
            </a:ext>
          </a:extLst>
        </xdr:cNvPr>
        <xdr:cNvSpPr/>
      </xdr:nvSpPr>
      <xdr:spPr>
        <a:xfrm rot="15304432">
          <a:off x="30338154" y="-1186493"/>
          <a:ext cx="1583564" cy="9382878"/>
        </a:xfrm>
        <a:prstGeom prst="arc">
          <a:avLst/>
        </a:prstGeom>
        <a:ln w="38100">
          <a:solidFill>
            <a:srgbClr val="C00000"/>
          </a:solidFill>
        </a:ln>
      </xdr:spPr>
      <xdr:style>
        <a:lnRef idx="2">
          <a:schemeClr val="accent1"/>
        </a:lnRef>
        <a:fillRef idx="0">
          <a:schemeClr val="accent1"/>
        </a:fillRef>
        <a:effectRef idx="1">
          <a:schemeClr val="accent1"/>
        </a:effectRef>
        <a:fontRef idx="minor">
          <a:schemeClr val="tx1"/>
        </a:fontRef>
      </xdr:style>
      <xdr:txBody>
        <a:bodyPr rtlCol="0" anchor="ctr"/>
        <a:lstStyle/>
        <a:p>
          <a:pPr algn="l"/>
          <a:endParaRPr lang="en-US" sz="1100"/>
        </a:p>
      </xdr:txBody>
    </xdr:sp>
    <xdr:clientData/>
  </xdr:twoCellAnchor>
  <xdr:twoCellAnchor>
    <xdr:from>
      <xdr:col>50</xdr:col>
      <xdr:colOff>1078310</xdr:colOff>
      <xdr:row>23</xdr:row>
      <xdr:rowOff>148525</xdr:rowOff>
    </xdr:from>
    <xdr:to>
      <xdr:col>50</xdr:col>
      <xdr:colOff>1081653</xdr:colOff>
      <xdr:row>27</xdr:row>
      <xdr:rowOff>1655</xdr:rowOff>
    </xdr:to>
    <xdr:cxnSp macro="">
      <xdr:nvCxnSpPr>
        <xdr:cNvPr id="11" name="Straight Connector 10">
          <a:extLst>
            <a:ext uri="{FF2B5EF4-FFF2-40B4-BE49-F238E27FC236}">
              <a16:creationId xmlns:a16="http://schemas.microsoft.com/office/drawing/2014/main" id="{B67F9A04-97C5-4807-ADC5-B812E6816905}"/>
            </a:ext>
          </a:extLst>
        </xdr:cNvPr>
        <xdr:cNvCxnSpPr/>
      </xdr:nvCxnSpPr>
      <xdr:spPr>
        <a:xfrm flipV="1">
          <a:off x="26582450" y="4716715"/>
          <a:ext cx="0" cy="588460"/>
        </a:xfrm>
        <a:prstGeom prst="line">
          <a:avLst/>
        </a:prstGeom>
        <a:ln w="38100">
          <a:solidFill>
            <a:srgbClr val="C00000"/>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57</xdr:col>
      <xdr:colOff>3228</xdr:colOff>
      <xdr:row>12</xdr:row>
      <xdr:rowOff>177000</xdr:rowOff>
    </xdr:from>
    <xdr:to>
      <xdr:col>58</xdr:col>
      <xdr:colOff>748</xdr:colOff>
      <xdr:row>12</xdr:row>
      <xdr:rowOff>177585</xdr:rowOff>
    </xdr:to>
    <xdr:cxnSp macro="">
      <xdr:nvCxnSpPr>
        <xdr:cNvPr id="12" name="Straight Connector 11">
          <a:extLst>
            <a:ext uri="{FF2B5EF4-FFF2-40B4-BE49-F238E27FC236}">
              <a16:creationId xmlns:a16="http://schemas.microsoft.com/office/drawing/2014/main" id="{1FD9A397-7283-4456-B473-489926CC21A2}"/>
            </a:ext>
          </a:extLst>
        </xdr:cNvPr>
        <xdr:cNvCxnSpPr/>
      </xdr:nvCxnSpPr>
      <xdr:spPr>
        <a:xfrm flipV="1">
          <a:off x="30906138" y="2733510"/>
          <a:ext cx="671890" cy="585"/>
        </a:xfrm>
        <a:prstGeom prst="line">
          <a:avLst/>
        </a:prstGeom>
        <a:ln w="38100">
          <a:solidFill>
            <a:srgbClr val="C00000"/>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50</xdr:col>
      <xdr:colOff>273373</xdr:colOff>
      <xdr:row>24</xdr:row>
      <xdr:rowOff>80653</xdr:rowOff>
    </xdr:from>
    <xdr:to>
      <xdr:col>52</xdr:col>
      <xdr:colOff>597928</xdr:colOff>
      <xdr:row>26</xdr:row>
      <xdr:rowOff>115930</xdr:rowOff>
    </xdr:to>
    <xdr:sp macro="" textlink="">
      <xdr:nvSpPr>
        <xdr:cNvPr id="13" name="Arrow: Left 12">
          <a:extLst>
            <a:ext uri="{FF2B5EF4-FFF2-40B4-BE49-F238E27FC236}">
              <a16:creationId xmlns:a16="http://schemas.microsoft.com/office/drawing/2014/main" id="{A94084DD-3A8B-4F1E-AB04-85378B2AAA50}"/>
            </a:ext>
          </a:extLst>
        </xdr:cNvPr>
        <xdr:cNvSpPr/>
      </xdr:nvSpPr>
      <xdr:spPr>
        <a:xfrm>
          <a:off x="26181373" y="4831723"/>
          <a:ext cx="1856175" cy="401037"/>
        </a:xfrm>
        <a:prstGeom prst="lef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ctr"/>
          <a:r>
            <a:rPr lang="en-US" sz="1200"/>
            <a:t>50%</a:t>
          </a:r>
          <a:r>
            <a:rPr lang="en-US" sz="1200" baseline="0"/>
            <a:t> Subsidy</a:t>
          </a:r>
          <a:endParaRPr lang="en-US" sz="1200"/>
        </a:p>
      </xdr:txBody>
    </xdr:sp>
    <xdr:clientData/>
  </xdr:twoCellAnchor>
  <xdr:twoCellAnchor>
    <xdr:from>
      <xdr:col>54</xdr:col>
      <xdr:colOff>180733</xdr:colOff>
      <xdr:row>20</xdr:row>
      <xdr:rowOff>78155</xdr:rowOff>
    </xdr:from>
    <xdr:to>
      <xdr:col>55</xdr:col>
      <xdr:colOff>371231</xdr:colOff>
      <xdr:row>22</xdr:row>
      <xdr:rowOff>68385</xdr:rowOff>
    </xdr:to>
    <xdr:sp macro="" textlink="">
      <xdr:nvSpPr>
        <xdr:cNvPr id="14" name="Arrow: Right 13">
          <a:extLst>
            <a:ext uri="{FF2B5EF4-FFF2-40B4-BE49-F238E27FC236}">
              <a16:creationId xmlns:a16="http://schemas.microsoft.com/office/drawing/2014/main" id="{4E793D93-4E7F-45D8-A614-65C74FFEF3B4}"/>
            </a:ext>
          </a:extLst>
        </xdr:cNvPr>
        <xdr:cNvSpPr/>
      </xdr:nvSpPr>
      <xdr:spPr>
        <a:xfrm>
          <a:off x="29060533" y="4097705"/>
          <a:ext cx="864868" cy="355990"/>
        </a:xfrm>
        <a:prstGeom prst="right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l"/>
          <a:r>
            <a:rPr lang="en-US" sz="1000"/>
            <a:t>25% Comp.</a:t>
          </a:r>
        </a:p>
      </xdr:txBody>
    </xdr:sp>
    <xdr:clientData/>
  </xdr:twoCellAnchor>
  <xdr:twoCellAnchor>
    <xdr:from>
      <xdr:col>57</xdr:col>
      <xdr:colOff>3811</xdr:colOff>
      <xdr:row>17</xdr:row>
      <xdr:rowOff>1394</xdr:rowOff>
    </xdr:from>
    <xdr:to>
      <xdr:col>58</xdr:col>
      <xdr:colOff>0</xdr:colOff>
      <xdr:row>17</xdr:row>
      <xdr:rowOff>2647</xdr:rowOff>
    </xdr:to>
    <xdr:cxnSp macro="">
      <xdr:nvCxnSpPr>
        <xdr:cNvPr id="15" name="Straight Connector 14">
          <a:extLst>
            <a:ext uri="{FF2B5EF4-FFF2-40B4-BE49-F238E27FC236}">
              <a16:creationId xmlns:a16="http://schemas.microsoft.com/office/drawing/2014/main" id="{1D5FB9F2-D685-46F3-BCD1-E4CB999FF41A}"/>
            </a:ext>
          </a:extLst>
        </xdr:cNvPr>
        <xdr:cNvCxnSpPr/>
      </xdr:nvCxnSpPr>
      <xdr:spPr>
        <a:xfrm flipV="1">
          <a:off x="30906721" y="3472304"/>
          <a:ext cx="670559" cy="1253"/>
        </a:xfrm>
        <a:prstGeom prst="line">
          <a:avLst/>
        </a:prstGeom>
        <a:ln w="38100"/>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12137</xdr:colOff>
      <xdr:row>0</xdr:row>
      <xdr:rowOff>0</xdr:rowOff>
    </xdr:from>
    <xdr:to>
      <xdr:col>18</xdr:col>
      <xdr:colOff>192901</xdr:colOff>
      <xdr:row>22</xdr:row>
      <xdr:rowOff>79375</xdr:rowOff>
    </xdr:to>
    <xdr:sp macro="" textlink="">
      <xdr:nvSpPr>
        <xdr:cNvPr id="8" name="Rectangle 7">
          <a:extLst>
            <a:ext uri="{FF2B5EF4-FFF2-40B4-BE49-F238E27FC236}">
              <a16:creationId xmlns:a16="http://schemas.microsoft.com/office/drawing/2014/main" id="{655E2D65-4EEA-49CA-8F0E-478C8809955D}"/>
            </a:ext>
          </a:extLst>
        </xdr:cNvPr>
        <xdr:cNvSpPr/>
      </xdr:nvSpPr>
      <xdr:spPr>
        <a:xfrm>
          <a:off x="9574179" y="0"/>
          <a:ext cx="4662805" cy="5085292"/>
        </a:xfrm>
        <a:prstGeom prst="rect">
          <a:avLst/>
        </a:prstGeom>
        <a:solidFill>
          <a:schemeClr val="accent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600" b="1">
              <a:solidFill>
                <a:sysClr val="windowText" lastClr="000000"/>
              </a:solidFill>
            </a:rPr>
            <a:t>Disclaimer and</a:t>
          </a:r>
          <a:r>
            <a:rPr lang="en-US" sz="1600" b="1" baseline="0">
              <a:solidFill>
                <a:sysClr val="windowText" lastClr="000000"/>
              </a:solidFill>
            </a:rPr>
            <a:t> other considerations:</a:t>
          </a:r>
        </a:p>
        <a:p>
          <a:pPr algn="l"/>
          <a:endParaRPr lang="en-US" sz="1600" b="1">
            <a:solidFill>
              <a:sysClr val="windowText" lastClr="000000"/>
            </a:solidFill>
          </a:endParaRPr>
        </a:p>
        <a:p>
          <a:r>
            <a:rPr lang="en-US" sz="1200">
              <a:solidFill>
                <a:sysClr val="windowText" lastClr="000000"/>
              </a:solidFill>
              <a:effectLst/>
              <a:latin typeface="+mn-lt"/>
              <a:ea typeface="+mn-ea"/>
              <a:cs typeface="+mn-cs"/>
            </a:rPr>
            <a:t>The biggest factor impacting the feasibility of electric fence installation is snow as well as land terrain and ruggedness. Installation usually coincides with the beginning of grazing season in the late spring. Depending on operation location snow presence can be a real consideration as it may require the use of a snow machine as well as increased installation time requirements as the ground will potentially be hardened, and snow presence would require digging for post installation. In order to catch some of the additional time requirements from difficult terrain, we add a 1.2 multiplier to labor time if you answer "Yes" to the question " Do you live in an area that is particularly rocky or has rugged terrain or deep snow? ".</a:t>
          </a:r>
        </a:p>
        <a:p>
          <a:endParaRPr lang="en-US" sz="1200">
            <a:solidFill>
              <a:sysClr val="windowText" lastClr="000000"/>
            </a:solidFill>
            <a:effectLst/>
            <a:latin typeface="+mn-lt"/>
            <a:ea typeface="+mn-ea"/>
            <a:cs typeface="+mn-cs"/>
          </a:endParaRPr>
        </a:p>
        <a:p>
          <a:r>
            <a:rPr lang="en-US" sz="1200">
              <a:solidFill>
                <a:sysClr val="windowText" lastClr="000000"/>
              </a:solidFill>
              <a:effectLst/>
              <a:latin typeface="+mn-lt"/>
              <a:ea typeface="+mn-ea"/>
              <a:cs typeface="+mn-cs"/>
            </a:rPr>
            <a:t>Another consideration is the system in which you choose to spool and unspool the turbo fladry. This budget sheet includes an electric fence geared reel, but other producers may choose to implement a more involved system that integrates the reel into a shoulder strap system or use an automated fladry spooling system connected to an ATV. These systems have the potential to decrease installation time but increase upfront costs.</a:t>
          </a:r>
        </a:p>
        <a:p>
          <a:endParaRPr lang="en-US" sz="1200">
            <a:solidFill>
              <a:sysClr val="windowText" lastClr="000000"/>
            </a:solidFill>
            <a:effectLst/>
            <a:latin typeface="+mn-lt"/>
            <a:ea typeface="+mn-ea"/>
            <a:cs typeface="+mn-cs"/>
          </a:endParaRPr>
        </a:p>
        <a:p>
          <a:r>
            <a:rPr lang="en-US" sz="1200">
              <a:solidFill>
                <a:sysClr val="windowText" lastClr="000000"/>
              </a:solidFill>
              <a:effectLst/>
              <a:latin typeface="+mn-lt"/>
              <a:ea typeface="+mn-ea"/>
              <a:cs typeface="+mn-cs"/>
            </a:rPr>
            <a:t>Wind is another factor that must be considered for maintenance requirements. Intense wind can cause the fladry flags to wrap around the fencing which diminishes the visual impact of the flagging and requires increased maintenance time. </a:t>
          </a:r>
        </a:p>
        <a:p>
          <a:pPr algn="l"/>
          <a:endParaRPr lang="en-US" sz="1600" b="1">
            <a:solidFill>
              <a:sysClr val="windowText" lastClr="000000"/>
            </a:solidFill>
          </a:endParaRPr>
        </a:p>
      </xdr:txBody>
    </xdr:sp>
    <xdr:clientData/>
  </xdr:twoCellAnchor>
  <xdr:twoCellAnchor>
    <xdr:from>
      <xdr:col>13</xdr:col>
      <xdr:colOff>409901</xdr:colOff>
      <xdr:row>23</xdr:row>
      <xdr:rowOff>165017</xdr:rowOff>
    </xdr:from>
    <xdr:to>
      <xdr:col>16</xdr:col>
      <xdr:colOff>139959</xdr:colOff>
      <xdr:row>28</xdr:row>
      <xdr:rowOff>132184</xdr:rowOff>
    </xdr:to>
    <xdr:sp macro="" textlink="">
      <xdr:nvSpPr>
        <xdr:cNvPr id="2" name="Oval 1">
          <a:hlinkClick xmlns:r="http://schemas.openxmlformats.org/officeDocument/2006/relationships" r:id="rId1"/>
          <a:extLst>
            <a:ext uri="{FF2B5EF4-FFF2-40B4-BE49-F238E27FC236}">
              <a16:creationId xmlns:a16="http://schemas.microsoft.com/office/drawing/2014/main" id="{FE948C25-8BB9-A3F5-9919-D1EE019627F6}"/>
            </a:ext>
          </a:extLst>
        </xdr:cNvPr>
        <xdr:cNvSpPr/>
      </xdr:nvSpPr>
      <xdr:spPr>
        <a:xfrm>
          <a:off x="11248962" y="5390160"/>
          <a:ext cx="1642834" cy="900228"/>
        </a:xfrm>
        <a:prstGeom prst="ellipse">
          <a:avLst/>
        </a:prstGeom>
        <a:solidFill>
          <a:schemeClr val="accent6">
            <a:lumMod val="20000"/>
            <a:lumOff val="80000"/>
          </a:schemeClr>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solidFill>
                <a:sysClr val="windowText" lastClr="000000"/>
              </a:solidFill>
            </a:rPr>
            <a:t>Home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279165</xdr:colOff>
      <xdr:row>17</xdr:row>
      <xdr:rowOff>107629</xdr:rowOff>
    </xdr:from>
    <xdr:to>
      <xdr:col>12</xdr:col>
      <xdr:colOff>807122</xdr:colOff>
      <xdr:row>17</xdr:row>
      <xdr:rowOff>107629</xdr:rowOff>
    </xdr:to>
    <xdr:cxnSp macro="">
      <xdr:nvCxnSpPr>
        <xdr:cNvPr id="4" name="Straight Arrow Connector 3">
          <a:extLst>
            <a:ext uri="{FF2B5EF4-FFF2-40B4-BE49-F238E27FC236}">
              <a16:creationId xmlns:a16="http://schemas.microsoft.com/office/drawing/2014/main" id="{87DD78CD-5A14-4CDE-9DD0-BEBCB890A724}"/>
            </a:ext>
          </a:extLst>
        </xdr:cNvPr>
        <xdr:cNvCxnSpPr/>
      </xdr:nvCxnSpPr>
      <xdr:spPr>
        <a:xfrm>
          <a:off x="11898188" y="3412582"/>
          <a:ext cx="527957"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262438</xdr:colOff>
      <xdr:row>3</xdr:row>
      <xdr:rowOff>108472</xdr:rowOff>
    </xdr:from>
    <xdr:to>
      <xdr:col>10</xdr:col>
      <xdr:colOff>764273</xdr:colOff>
      <xdr:row>8</xdr:row>
      <xdr:rowOff>74530</xdr:rowOff>
    </xdr:to>
    <xdr:sp macro="" textlink="">
      <xdr:nvSpPr>
        <xdr:cNvPr id="5" name="Rectangle 4">
          <a:extLst>
            <a:ext uri="{FF2B5EF4-FFF2-40B4-BE49-F238E27FC236}">
              <a16:creationId xmlns:a16="http://schemas.microsoft.com/office/drawing/2014/main" id="{FA619B9E-0CB7-4243-8502-477955E6D62F}"/>
            </a:ext>
          </a:extLst>
        </xdr:cNvPr>
        <xdr:cNvSpPr/>
      </xdr:nvSpPr>
      <xdr:spPr>
        <a:xfrm>
          <a:off x="5094211" y="853154"/>
          <a:ext cx="4372448" cy="875262"/>
        </a:xfrm>
        <a:prstGeom prst="rect">
          <a:avLst/>
        </a:prstGeom>
        <a:solidFill>
          <a:schemeClr val="accent6">
            <a:lumMod val="20000"/>
            <a:lumOff val="80000"/>
          </a:schemeClr>
        </a:solidFill>
        <a:ln>
          <a:noFill/>
        </a:ln>
        <a:effectLst>
          <a:outerShdw blurRad="107950" dist="12700" dir="5400000" algn="ctr">
            <a:srgbClr val="000000"/>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3200">
              <a:solidFill>
                <a:sysClr val="windowText" lastClr="000000"/>
              </a:solidFill>
            </a:rPr>
            <a:t>Pick a method</a:t>
          </a:r>
        </a:p>
      </xdr:txBody>
    </xdr:sp>
    <xdr:clientData/>
  </xdr:twoCellAnchor>
  <xdr:twoCellAnchor>
    <xdr:from>
      <xdr:col>5</xdr:col>
      <xdr:colOff>397653</xdr:colOff>
      <xdr:row>9</xdr:row>
      <xdr:rowOff>9841</xdr:rowOff>
    </xdr:from>
    <xdr:to>
      <xdr:col>6</xdr:col>
      <xdr:colOff>61817</xdr:colOff>
      <xdr:row>13</xdr:row>
      <xdr:rowOff>128069</xdr:rowOff>
    </xdr:to>
    <xdr:sp macro="" textlink="">
      <xdr:nvSpPr>
        <xdr:cNvPr id="6" name="Arrow: Right 5">
          <a:extLst>
            <a:ext uri="{FF2B5EF4-FFF2-40B4-BE49-F238E27FC236}">
              <a16:creationId xmlns:a16="http://schemas.microsoft.com/office/drawing/2014/main" id="{B505694F-F6BA-4103-99BB-80EF99177CFD}"/>
            </a:ext>
          </a:extLst>
        </xdr:cNvPr>
        <xdr:cNvSpPr/>
      </xdr:nvSpPr>
      <xdr:spPr>
        <a:xfrm rot="7933487">
          <a:off x="5019712" y="2055282"/>
          <a:ext cx="845592" cy="426164"/>
        </a:xfrm>
        <a:prstGeom prst="rightArrow">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202243</xdr:colOff>
      <xdr:row>9</xdr:row>
      <xdr:rowOff>100009</xdr:rowOff>
    </xdr:from>
    <xdr:to>
      <xdr:col>10</xdr:col>
      <xdr:colOff>623064</xdr:colOff>
      <xdr:row>14</xdr:row>
      <xdr:rowOff>29086</xdr:rowOff>
    </xdr:to>
    <xdr:sp macro="" textlink="">
      <xdr:nvSpPr>
        <xdr:cNvPr id="7" name="Arrow: Right 6">
          <a:extLst>
            <a:ext uri="{FF2B5EF4-FFF2-40B4-BE49-F238E27FC236}">
              <a16:creationId xmlns:a16="http://schemas.microsoft.com/office/drawing/2014/main" id="{9346E3E9-76C6-4C12-A18A-706D18FC02AD}"/>
            </a:ext>
          </a:extLst>
        </xdr:cNvPr>
        <xdr:cNvSpPr/>
      </xdr:nvSpPr>
      <xdr:spPr>
        <a:xfrm rot="3249558">
          <a:off x="8695899" y="2144466"/>
          <a:ext cx="838282" cy="420821"/>
        </a:xfrm>
        <a:prstGeom prst="rightArrow">
          <a:avLst/>
        </a:prstGeom>
        <a:solidFill>
          <a:schemeClr val="tx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749710</xdr:colOff>
      <xdr:row>9</xdr:row>
      <xdr:rowOff>12291</xdr:rowOff>
    </xdr:from>
    <xdr:to>
      <xdr:col>4</xdr:col>
      <xdr:colOff>387145</xdr:colOff>
      <xdr:row>13</xdr:row>
      <xdr:rowOff>129049</xdr:rowOff>
    </xdr:to>
    <xdr:sp macro="" textlink="">
      <xdr:nvSpPr>
        <xdr:cNvPr id="8" name="Rectangle 7">
          <a:extLst>
            <a:ext uri="{FF2B5EF4-FFF2-40B4-BE49-F238E27FC236}">
              <a16:creationId xmlns:a16="http://schemas.microsoft.com/office/drawing/2014/main" id="{43111F2C-57E9-7F6A-6510-95EAA0BE0D01}"/>
            </a:ext>
          </a:extLst>
        </xdr:cNvPr>
        <xdr:cNvSpPr/>
      </xdr:nvSpPr>
      <xdr:spPr>
        <a:xfrm>
          <a:off x="1444113" y="1849694"/>
          <a:ext cx="3048000" cy="848032"/>
        </a:xfrm>
        <a:prstGeom prst="rect">
          <a:avLst/>
        </a:prstGeom>
        <a:solidFill>
          <a:schemeClr val="accent6">
            <a:lumMod val="20000"/>
            <a:lumOff val="80000"/>
          </a:schemeClr>
        </a:solid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Perimeter method: </a:t>
          </a:r>
          <a:r>
            <a:rPr lang="en-US" sz="1100" b="0">
              <a:solidFill>
                <a:sysClr val="windowText" lastClr="000000"/>
              </a:solidFill>
            </a:rPr>
            <a:t>Simply</a:t>
          </a:r>
          <a:r>
            <a:rPr lang="en-US" sz="1100" b="0" baseline="0">
              <a:solidFill>
                <a:sysClr val="windowText" lastClr="000000"/>
              </a:solidFill>
            </a:rPr>
            <a:t> state how many feet of fencing you want and costs will be calculated based of that input.</a:t>
          </a:r>
          <a:r>
            <a:rPr lang="en-US" sz="1100" b="0">
              <a:solidFill>
                <a:sysClr val="windowText" lastClr="000000"/>
              </a:solidFill>
            </a:rPr>
            <a:t> </a:t>
          </a:r>
        </a:p>
      </xdr:txBody>
    </xdr:sp>
    <xdr:clientData/>
  </xdr:twoCellAnchor>
  <xdr:twoCellAnchor>
    <xdr:from>
      <xdr:col>12</xdr:col>
      <xdr:colOff>0</xdr:colOff>
      <xdr:row>9</xdr:row>
      <xdr:rowOff>0</xdr:rowOff>
    </xdr:from>
    <xdr:to>
      <xdr:col>15</xdr:col>
      <xdr:colOff>454742</xdr:colOff>
      <xdr:row>14</xdr:row>
      <xdr:rowOff>52552</xdr:rowOff>
    </xdr:to>
    <xdr:sp macro="" textlink="">
      <xdr:nvSpPr>
        <xdr:cNvPr id="9" name="Rectangle 8">
          <a:extLst>
            <a:ext uri="{FF2B5EF4-FFF2-40B4-BE49-F238E27FC236}">
              <a16:creationId xmlns:a16="http://schemas.microsoft.com/office/drawing/2014/main" id="{334BF2CC-7ED8-4424-BD37-1C96E55AE094}"/>
            </a:ext>
          </a:extLst>
        </xdr:cNvPr>
        <xdr:cNvSpPr/>
      </xdr:nvSpPr>
      <xdr:spPr>
        <a:xfrm>
          <a:off x="11609552" y="1839310"/>
          <a:ext cx="3047293" cy="967828"/>
        </a:xfrm>
        <a:prstGeom prst="rect">
          <a:avLst/>
        </a:prstGeom>
        <a:solidFill>
          <a:schemeClr val="accent6">
            <a:lumMod val="20000"/>
            <a:lumOff val="80000"/>
          </a:schemeClr>
        </a:solid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Quantity of sheep method: </a:t>
          </a:r>
          <a:r>
            <a:rPr lang="en-US" sz="1100">
              <a:solidFill>
                <a:sysClr val="windowText" lastClr="000000"/>
              </a:solidFill>
            </a:rPr>
            <a:t>Respond</a:t>
          </a:r>
          <a:r>
            <a:rPr lang="en-US" sz="1100" baseline="0">
              <a:solidFill>
                <a:sysClr val="windowText" lastClr="000000"/>
              </a:solidFill>
            </a:rPr>
            <a:t> below how many sheep you have and we'll estimate how many feet of fencing you'll need based on the assumption that the pen is circular and 25 sq ft are allocated per animal.</a:t>
          </a:r>
          <a:endParaRPr lang="en-US" sz="1100">
            <a:solidFill>
              <a:sysClr val="windowText" lastClr="000000"/>
            </a:solidFill>
          </a:endParaRPr>
        </a:p>
      </xdr:txBody>
    </xdr:sp>
    <xdr:clientData/>
  </xdr:twoCellAnchor>
  <xdr:twoCellAnchor>
    <xdr:from>
      <xdr:col>6</xdr:col>
      <xdr:colOff>50646</xdr:colOff>
      <xdr:row>16</xdr:row>
      <xdr:rowOff>82565</xdr:rowOff>
    </xdr:from>
    <xdr:to>
      <xdr:col>6</xdr:col>
      <xdr:colOff>578603</xdr:colOff>
      <xdr:row>16</xdr:row>
      <xdr:rowOff>82565</xdr:rowOff>
    </xdr:to>
    <xdr:cxnSp macro="">
      <xdr:nvCxnSpPr>
        <xdr:cNvPr id="10" name="Straight Arrow Connector 9">
          <a:extLst>
            <a:ext uri="{FF2B5EF4-FFF2-40B4-BE49-F238E27FC236}">
              <a16:creationId xmlns:a16="http://schemas.microsoft.com/office/drawing/2014/main" id="{B47A1493-B17D-4CB1-A181-76F6BE3B9848}"/>
            </a:ext>
          </a:extLst>
        </xdr:cNvPr>
        <xdr:cNvCxnSpPr/>
      </xdr:nvCxnSpPr>
      <xdr:spPr>
        <a:xfrm>
          <a:off x="5635017" y="3217651"/>
          <a:ext cx="527957" cy="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17</xdr:col>
      <xdr:colOff>135</xdr:colOff>
      <xdr:row>0</xdr:row>
      <xdr:rowOff>0</xdr:rowOff>
    </xdr:from>
    <xdr:to>
      <xdr:col>24</xdr:col>
      <xdr:colOff>260784</xdr:colOff>
      <xdr:row>11</xdr:row>
      <xdr:rowOff>21771</xdr:rowOff>
    </xdr:to>
    <xdr:sp macro="" textlink="">
      <xdr:nvSpPr>
        <xdr:cNvPr id="11" name="Rectangle 10">
          <a:extLst>
            <a:ext uri="{FF2B5EF4-FFF2-40B4-BE49-F238E27FC236}">
              <a16:creationId xmlns:a16="http://schemas.microsoft.com/office/drawing/2014/main" id="{C4D64B41-AA1D-40CA-BA49-0CBB59FE9DF7}"/>
            </a:ext>
          </a:extLst>
        </xdr:cNvPr>
        <xdr:cNvSpPr/>
      </xdr:nvSpPr>
      <xdr:spPr>
        <a:xfrm>
          <a:off x="15691892" y="0"/>
          <a:ext cx="4734678" cy="2231571"/>
        </a:xfrm>
        <a:prstGeom prst="rect">
          <a:avLst/>
        </a:prstGeom>
        <a:solidFill>
          <a:schemeClr val="accent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600" b="1">
              <a:solidFill>
                <a:sysClr val="windowText" lastClr="000000"/>
              </a:solidFill>
            </a:rPr>
            <a:t>Disclaimer and</a:t>
          </a:r>
          <a:r>
            <a:rPr lang="en-US" sz="1600" b="1" baseline="0">
              <a:solidFill>
                <a:sysClr val="windowText" lastClr="000000"/>
              </a:solidFill>
            </a:rPr>
            <a:t> other considerations:</a:t>
          </a:r>
        </a:p>
        <a:p>
          <a:pPr algn="l"/>
          <a:endParaRPr lang="en-US" sz="1200" b="0" baseline="0">
            <a:solidFill>
              <a:sysClr val="windowText" lastClr="000000"/>
            </a:solidFill>
          </a:endParaRPr>
        </a:p>
        <a:p>
          <a:r>
            <a:rPr lang="en-US" sz="1200">
              <a:solidFill>
                <a:sysClr val="windowText" lastClr="000000"/>
              </a:solidFill>
              <a:effectLst/>
              <a:latin typeface="+mn-lt"/>
              <a:ea typeface="+mn-ea"/>
              <a:cs typeface="+mn-cs"/>
            </a:rPr>
            <a:t>In order for night penning to work properly, sheep or goats do have to be trained to use the fencing. Failure to do so will cause more wear and tear on the penning, which ultimately decreases the lifespan of the fencing. </a:t>
          </a:r>
        </a:p>
        <a:p>
          <a:endParaRPr lang="en-US" sz="1200">
            <a:solidFill>
              <a:sysClr val="windowText" lastClr="000000"/>
            </a:solidFill>
            <a:effectLst/>
            <a:latin typeface="+mn-lt"/>
            <a:ea typeface="+mn-ea"/>
            <a:cs typeface="+mn-cs"/>
          </a:endParaRPr>
        </a:p>
        <a:p>
          <a:r>
            <a:rPr lang="en-US" sz="1200">
              <a:solidFill>
                <a:sysClr val="windowText" lastClr="000000"/>
              </a:solidFill>
              <a:effectLst/>
              <a:latin typeface="+mn-lt"/>
              <a:ea typeface="+mn-ea"/>
              <a:cs typeface="+mn-cs"/>
            </a:rPr>
            <a:t>Because night penning is designed to be a more temporary system with more frequent set-up and take down, weather considerations can impact the installation times. Wet season particularly will increase time demands for set-up. </a:t>
          </a:r>
        </a:p>
      </xdr:txBody>
    </xdr:sp>
    <xdr:clientData/>
  </xdr:twoCellAnchor>
  <xdr:twoCellAnchor>
    <xdr:from>
      <xdr:col>19</xdr:col>
      <xdr:colOff>278780</xdr:colOff>
      <xdr:row>14</xdr:row>
      <xdr:rowOff>83634</xdr:rowOff>
    </xdr:from>
    <xdr:to>
      <xdr:col>22</xdr:col>
      <xdr:colOff>16614</xdr:colOff>
      <xdr:row>19</xdr:row>
      <xdr:rowOff>54594</xdr:rowOff>
    </xdr:to>
    <xdr:sp macro="" textlink="">
      <xdr:nvSpPr>
        <xdr:cNvPr id="3" name="Oval 2">
          <a:hlinkClick xmlns:r="http://schemas.openxmlformats.org/officeDocument/2006/relationships" r:id="rId1"/>
          <a:extLst>
            <a:ext uri="{FF2B5EF4-FFF2-40B4-BE49-F238E27FC236}">
              <a16:creationId xmlns:a16="http://schemas.microsoft.com/office/drawing/2014/main" id="{C08EED9B-F55E-4FFC-9B02-75D9EBA9FF75}"/>
            </a:ext>
          </a:extLst>
        </xdr:cNvPr>
        <xdr:cNvSpPr/>
      </xdr:nvSpPr>
      <xdr:spPr>
        <a:xfrm>
          <a:off x="17163585" y="2852854"/>
          <a:ext cx="1642834" cy="900228"/>
        </a:xfrm>
        <a:prstGeom prst="ellipse">
          <a:avLst/>
        </a:prstGeom>
        <a:solidFill>
          <a:schemeClr val="accent6">
            <a:lumMod val="20000"/>
            <a:lumOff val="80000"/>
          </a:schemeClr>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solidFill>
                <a:sysClr val="windowText" lastClr="000000"/>
              </a:solidFill>
            </a:rPr>
            <a:t>Home</a:t>
          </a:r>
        </a:p>
      </xdr:txBody>
    </xdr:sp>
    <xdr:clientData/>
  </xdr:twoCellAnchor>
  <xdr:twoCellAnchor editAs="oneCell">
    <xdr:from>
      <xdr:col>20</xdr:col>
      <xdr:colOff>309113</xdr:colOff>
      <xdr:row>24</xdr:row>
      <xdr:rowOff>71887</xdr:rowOff>
    </xdr:from>
    <xdr:to>
      <xdr:col>30</xdr:col>
      <xdr:colOff>239527</xdr:colOff>
      <xdr:row>48</xdr:row>
      <xdr:rowOff>66999</xdr:rowOff>
    </xdr:to>
    <xdr:pic>
      <xdr:nvPicPr>
        <xdr:cNvPr id="12" name="Picture 11">
          <a:extLst>
            <a:ext uri="{FF2B5EF4-FFF2-40B4-BE49-F238E27FC236}">
              <a16:creationId xmlns:a16="http://schemas.microsoft.com/office/drawing/2014/main" id="{03468B59-2FA9-593B-2ADB-B9E284D82C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835113" y="5298057"/>
          <a:ext cx="6306772" cy="44017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22831</xdr:colOff>
      <xdr:row>53</xdr:row>
      <xdr:rowOff>157840</xdr:rowOff>
    </xdr:from>
    <xdr:to>
      <xdr:col>4</xdr:col>
      <xdr:colOff>533110</xdr:colOff>
      <xdr:row>64</xdr:row>
      <xdr:rowOff>94991</xdr:rowOff>
    </xdr:to>
    <xdr:sp macro="" textlink="">
      <xdr:nvSpPr>
        <xdr:cNvPr id="4" name="Rectangle 3">
          <a:extLst>
            <a:ext uri="{FF2B5EF4-FFF2-40B4-BE49-F238E27FC236}">
              <a16:creationId xmlns:a16="http://schemas.microsoft.com/office/drawing/2014/main" id="{5F45DF63-E592-388F-1F3F-B9195058DB59}"/>
            </a:ext>
          </a:extLst>
        </xdr:cNvPr>
        <xdr:cNvSpPr/>
      </xdr:nvSpPr>
      <xdr:spPr>
        <a:xfrm>
          <a:off x="1305352" y="10997558"/>
          <a:ext cx="3102152" cy="1944109"/>
        </a:xfrm>
        <a:prstGeom prst="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kern="1200"/>
        </a:p>
      </xdr:txBody>
    </xdr:sp>
    <xdr:clientData/>
  </xdr:twoCellAnchor>
  <xdr:twoCellAnchor>
    <xdr:from>
      <xdr:col>1</xdr:col>
      <xdr:colOff>49726</xdr:colOff>
      <xdr:row>54</xdr:row>
      <xdr:rowOff>148603</xdr:rowOff>
    </xdr:from>
    <xdr:to>
      <xdr:col>4</xdr:col>
      <xdr:colOff>511302</xdr:colOff>
      <xdr:row>63</xdr:row>
      <xdr:rowOff>115424</xdr:rowOff>
    </xdr:to>
    <xdr:sp macro="" textlink="">
      <xdr:nvSpPr>
        <xdr:cNvPr id="5" name="TextBox 4">
          <a:extLst>
            <a:ext uri="{FF2B5EF4-FFF2-40B4-BE49-F238E27FC236}">
              <a16:creationId xmlns:a16="http://schemas.microsoft.com/office/drawing/2014/main" id="{382C0D5D-7AA2-BE9B-A65C-554B4E889D98}"/>
            </a:ext>
          </a:extLst>
        </xdr:cNvPr>
        <xdr:cNvSpPr txBox="1"/>
      </xdr:nvSpPr>
      <xdr:spPr>
        <a:xfrm>
          <a:off x="1332247" y="11170772"/>
          <a:ext cx="3053449" cy="1608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Structure for Cattle</a:t>
          </a:r>
          <a:r>
            <a:rPr lang="en-US" sz="1200" b="1" baseline="0"/>
            <a:t> to work Load:</a:t>
          </a:r>
        </a:p>
        <a:p>
          <a:endParaRPr lang="en-US" sz="1200" b="1"/>
        </a:p>
        <a:p>
          <a:r>
            <a:rPr lang="en-US" sz="1100">
              <a:solidFill>
                <a:schemeClr val="dk1"/>
              </a:solidFill>
              <a:effectLst/>
              <a:latin typeface="+mn-lt"/>
              <a:ea typeface="+mn-ea"/>
              <a:cs typeface="+mn-cs"/>
            </a:rPr>
            <a:t>● </a:t>
          </a:r>
          <a:r>
            <a:rPr lang="en-US"/>
            <a:t>0-100 head would equate to a one-person operation, or ½ FTE at a cost of $25,000 </a:t>
          </a:r>
        </a:p>
        <a:p>
          <a:r>
            <a:rPr lang="en-US"/>
            <a:t>● 101 - 400 → 1.5 person operation → ¾ FTE at a cost of $40,000 </a:t>
          </a:r>
        </a:p>
        <a:p>
          <a:r>
            <a:rPr lang="en-US"/>
            <a:t>● 401 - 900 → two-person operation → 1 FTE at a cost of $50,000 </a:t>
          </a:r>
          <a:endParaRPr lang="en-US" sz="1100" kern="1200"/>
        </a:p>
      </xdr:txBody>
    </xdr:sp>
    <xdr:clientData/>
  </xdr:twoCellAnchor>
  <xdr:twoCellAnchor>
    <xdr:from>
      <xdr:col>10</xdr:col>
      <xdr:colOff>224020</xdr:colOff>
      <xdr:row>3</xdr:row>
      <xdr:rowOff>128803</xdr:rowOff>
    </xdr:from>
    <xdr:to>
      <xdr:col>10</xdr:col>
      <xdr:colOff>488485</xdr:colOff>
      <xdr:row>4</xdr:row>
      <xdr:rowOff>104995</xdr:rowOff>
    </xdr:to>
    <xdr:cxnSp macro="">
      <xdr:nvCxnSpPr>
        <xdr:cNvPr id="7" name="Connector: Elbow 6">
          <a:extLst>
            <a:ext uri="{FF2B5EF4-FFF2-40B4-BE49-F238E27FC236}">
              <a16:creationId xmlns:a16="http://schemas.microsoft.com/office/drawing/2014/main" id="{B730D4D5-BE3F-C75A-0A6E-16E96665E8A0}"/>
            </a:ext>
          </a:extLst>
        </xdr:cNvPr>
        <xdr:cNvCxnSpPr/>
      </xdr:nvCxnSpPr>
      <xdr:spPr>
        <a:xfrm rot="10800000" flipV="1">
          <a:off x="9174980" y="921283"/>
          <a:ext cx="264465" cy="159072"/>
        </a:xfrm>
        <a:prstGeom prst="bentConnector3">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30460</xdr:colOff>
      <xdr:row>1</xdr:row>
      <xdr:rowOff>108324</xdr:rowOff>
    </xdr:from>
    <xdr:to>
      <xdr:col>12</xdr:col>
      <xdr:colOff>512614</xdr:colOff>
      <xdr:row>7</xdr:row>
      <xdr:rowOff>14111</xdr:rowOff>
    </xdr:to>
    <xdr:sp macro="" textlink="">
      <xdr:nvSpPr>
        <xdr:cNvPr id="14" name="TextBox 13">
          <a:extLst>
            <a:ext uri="{FF2B5EF4-FFF2-40B4-BE49-F238E27FC236}">
              <a16:creationId xmlns:a16="http://schemas.microsoft.com/office/drawing/2014/main" id="{70476CA2-C2DF-07FF-85FD-DC583DCBCA6B}"/>
            </a:ext>
          </a:extLst>
        </xdr:cNvPr>
        <xdr:cNvSpPr txBox="1"/>
      </xdr:nvSpPr>
      <xdr:spPr>
        <a:xfrm>
          <a:off x="9823571" y="482268"/>
          <a:ext cx="1286487" cy="12392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Tiered</a:t>
          </a:r>
          <a:r>
            <a:rPr lang="en-US" sz="1100" baseline="0">
              <a:solidFill>
                <a:schemeClr val="dk1"/>
              </a:solidFill>
              <a:effectLst/>
              <a:latin typeface="+mn-lt"/>
              <a:ea typeface="+mn-ea"/>
              <a:cs typeface="+mn-cs"/>
            </a:rPr>
            <a:t> Cattle Structure</a:t>
          </a:r>
          <a:endParaRPr lang="en-US">
            <a:effectLst/>
          </a:endParaRPr>
        </a:p>
        <a:p>
          <a:r>
            <a:rPr lang="en-US" sz="1100">
              <a:solidFill>
                <a:schemeClr val="dk1"/>
              </a:solidFill>
              <a:effectLst/>
              <a:latin typeface="+mn-lt"/>
              <a:ea typeface="+mn-ea"/>
              <a:cs typeface="+mn-cs"/>
            </a:rPr>
            <a:t>0 - 100</a:t>
          </a:r>
          <a:endParaRPr lang="en-US">
            <a:effectLst/>
          </a:endParaRPr>
        </a:p>
        <a:p>
          <a:r>
            <a:rPr lang="en-US" sz="1100">
              <a:solidFill>
                <a:schemeClr val="dk1"/>
              </a:solidFill>
              <a:effectLst/>
              <a:latin typeface="+mn-lt"/>
              <a:ea typeface="+mn-ea"/>
              <a:cs typeface="+mn-cs"/>
            </a:rPr>
            <a:t>101 - 400</a:t>
          </a:r>
          <a:endParaRPr lang="en-US">
            <a:effectLst/>
          </a:endParaRPr>
        </a:p>
        <a:p>
          <a:r>
            <a:rPr lang="en-US" sz="1100">
              <a:solidFill>
                <a:schemeClr val="dk1"/>
              </a:solidFill>
              <a:effectLst/>
              <a:latin typeface="+mn-lt"/>
              <a:ea typeface="+mn-ea"/>
              <a:cs typeface="+mn-cs"/>
            </a:rPr>
            <a:t>401</a:t>
          </a:r>
          <a:r>
            <a:rPr lang="en-US" sz="1100" baseline="0">
              <a:solidFill>
                <a:schemeClr val="dk1"/>
              </a:solidFill>
              <a:effectLst/>
              <a:latin typeface="+mn-lt"/>
              <a:ea typeface="+mn-ea"/>
              <a:cs typeface="+mn-cs"/>
            </a:rPr>
            <a:t> - 900</a:t>
          </a:r>
          <a:endParaRPr lang="en-US">
            <a:effectLst/>
          </a:endParaRPr>
        </a:p>
        <a:p>
          <a:r>
            <a:rPr lang="en-US" sz="1100" baseline="0">
              <a:solidFill>
                <a:schemeClr val="dk1"/>
              </a:solidFill>
              <a:effectLst/>
              <a:latin typeface="+mn-lt"/>
              <a:ea typeface="+mn-ea"/>
              <a:cs typeface="+mn-cs"/>
            </a:rPr>
            <a:t>901 +</a:t>
          </a:r>
          <a:endParaRPr lang="en-US">
            <a:effectLst/>
          </a:endParaRPr>
        </a:p>
        <a:p>
          <a:endParaRPr lang="en-US" sz="1100" kern="1200"/>
        </a:p>
      </xdr:txBody>
    </xdr:sp>
    <xdr:clientData/>
  </xdr:twoCellAnchor>
  <xdr:twoCellAnchor>
    <xdr:from>
      <xdr:col>12</xdr:col>
      <xdr:colOff>639880</xdr:colOff>
      <xdr:row>0</xdr:row>
      <xdr:rowOff>0</xdr:rowOff>
    </xdr:from>
    <xdr:to>
      <xdr:col>21</xdr:col>
      <xdr:colOff>395500</xdr:colOff>
      <xdr:row>18</xdr:row>
      <xdr:rowOff>246945</xdr:rowOff>
    </xdr:to>
    <xdr:sp macro="" textlink="">
      <xdr:nvSpPr>
        <xdr:cNvPr id="6" name="Rectangle 5">
          <a:extLst>
            <a:ext uri="{FF2B5EF4-FFF2-40B4-BE49-F238E27FC236}">
              <a16:creationId xmlns:a16="http://schemas.microsoft.com/office/drawing/2014/main" id="{939A4850-092F-4C97-A18E-442334FF87A5}"/>
            </a:ext>
          </a:extLst>
        </xdr:cNvPr>
        <xdr:cNvSpPr/>
      </xdr:nvSpPr>
      <xdr:spPr>
        <a:xfrm>
          <a:off x="11237324" y="0"/>
          <a:ext cx="5534120" cy="4367389"/>
        </a:xfrm>
        <a:prstGeom prst="rect">
          <a:avLst/>
        </a:prstGeom>
        <a:solidFill>
          <a:schemeClr val="accent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600" b="1">
              <a:solidFill>
                <a:sysClr val="windowText" lastClr="000000"/>
              </a:solidFill>
            </a:rPr>
            <a:t>Disclaimer and</a:t>
          </a:r>
          <a:r>
            <a:rPr lang="en-US" sz="1600" b="1" baseline="0">
              <a:solidFill>
                <a:sysClr val="windowText" lastClr="000000"/>
              </a:solidFill>
            </a:rPr>
            <a:t> other considerations:</a:t>
          </a:r>
        </a:p>
        <a:p>
          <a:pPr algn="l"/>
          <a:endParaRPr lang="en-US" sz="1600" b="1" baseline="0">
            <a:solidFill>
              <a:sysClr val="windowText" lastClr="000000"/>
            </a:solidFill>
          </a:endParaRPr>
        </a:p>
        <a:p>
          <a:r>
            <a:rPr lang="en-US" sz="1200">
              <a:solidFill>
                <a:sysClr val="windowText" lastClr="000000"/>
              </a:solidFill>
              <a:effectLst/>
              <a:latin typeface="+mn-lt"/>
              <a:ea typeface="+mn-ea"/>
              <a:cs typeface="+mn-cs"/>
            </a:rPr>
            <a:t>With any practice that relies heavily on labor, costs can vary substantially with the degree of experience of the labor and the characteristics of the land. Some factors that can impact labor time and ultimately cost are:</a:t>
          </a:r>
        </a:p>
        <a:p>
          <a:endParaRPr lang="en-US" sz="1200">
            <a:solidFill>
              <a:sysClr val="windowText" lastClr="000000"/>
            </a:solidFill>
            <a:effectLst/>
            <a:latin typeface="+mn-lt"/>
            <a:ea typeface="+mn-ea"/>
            <a:cs typeface="+mn-cs"/>
          </a:endParaRPr>
        </a:p>
        <a:p>
          <a:r>
            <a:rPr lang="en-US" sz="1200" u="sng">
              <a:solidFill>
                <a:sysClr val="windowText" lastClr="000000"/>
              </a:solidFill>
              <a:effectLst/>
              <a:latin typeface="+mn-lt"/>
              <a:ea typeface="+mn-ea"/>
              <a:cs typeface="+mn-cs"/>
            </a:rPr>
            <a:t>Terrain and land ruggedness:</a:t>
          </a:r>
          <a:r>
            <a:rPr lang="en-US" sz="1200">
              <a:solidFill>
                <a:sysClr val="windowText" lastClr="000000"/>
              </a:solidFill>
              <a:effectLst/>
              <a:latin typeface="+mn-lt"/>
              <a:ea typeface="+mn-ea"/>
              <a:cs typeface="+mn-cs"/>
            </a:rPr>
            <a:t> Pasture landscapes that cover vast amounts of land that include characteristics such as deep snow, steep terrain and heavy forest can add complexity to range riding land management in terms of time and physical exertion. In order to catch some of the additional time requirements from difficult terrain, we add a 1.2 multiplier to labor time if you answer "Yes" to the question "Do you live in an area with particularly rugged or rough terrain?".</a:t>
          </a:r>
        </a:p>
        <a:p>
          <a:endParaRPr lang="en-US" sz="1200">
            <a:solidFill>
              <a:sysClr val="windowText" lastClr="000000"/>
            </a:solidFill>
            <a:effectLst/>
            <a:latin typeface="+mn-lt"/>
            <a:ea typeface="+mn-ea"/>
            <a:cs typeface="+mn-cs"/>
          </a:endParaRPr>
        </a:p>
        <a:p>
          <a:r>
            <a:rPr lang="en-US" sz="1200" u="sng">
              <a:solidFill>
                <a:sysClr val="windowText" lastClr="000000"/>
              </a:solidFill>
              <a:effectLst/>
              <a:latin typeface="+mn-lt"/>
              <a:ea typeface="+mn-ea"/>
              <a:cs typeface="+mn-cs"/>
            </a:rPr>
            <a:t>Carnivore activity:</a:t>
          </a:r>
          <a:r>
            <a:rPr lang="en-US" sz="1200">
              <a:solidFill>
                <a:sysClr val="windowText" lastClr="000000"/>
              </a:solidFill>
              <a:effectLst/>
              <a:latin typeface="+mn-lt"/>
              <a:ea typeface="+mn-ea"/>
              <a:cs typeface="+mn-cs"/>
            </a:rPr>
            <a:t> In the event that a predator such as a wolf ventures into the area and takes interest in the livestock, riders typically have to exert more time and energy deterring predator(s), often increasing hours to properly secure and monitor the livestock and well as haze predator(s). </a:t>
          </a:r>
        </a:p>
        <a:p>
          <a:endParaRPr lang="en-US" sz="1200">
            <a:solidFill>
              <a:sysClr val="windowText" lastClr="000000"/>
            </a:solidFill>
            <a:effectLst/>
            <a:latin typeface="+mn-lt"/>
            <a:ea typeface="+mn-ea"/>
            <a:cs typeface="+mn-cs"/>
          </a:endParaRPr>
        </a:p>
        <a:p>
          <a:r>
            <a:rPr lang="en-US" sz="1200" u="sng">
              <a:solidFill>
                <a:sysClr val="windowText" lastClr="000000"/>
              </a:solidFill>
              <a:effectLst/>
              <a:latin typeface="+mn-lt"/>
              <a:ea typeface="+mn-ea"/>
              <a:cs typeface="+mn-cs"/>
            </a:rPr>
            <a:t>Level of experience:</a:t>
          </a:r>
          <a:r>
            <a:rPr lang="en-US" sz="1200">
              <a:solidFill>
                <a:sysClr val="windowText" lastClr="000000"/>
              </a:solidFill>
              <a:effectLst/>
              <a:latin typeface="+mn-lt"/>
              <a:ea typeface="+mn-ea"/>
              <a:cs typeface="+mn-cs"/>
            </a:rPr>
            <a:t> Skill level of a range rider is a serious consideration when you factor in labor and the effectiveness of the practice. Riders that have previous knowledge of the land herd make-up pose clear advantages in conducting perimeter checks and would likely be more time efficient.</a:t>
          </a:r>
        </a:p>
      </xdr:txBody>
    </xdr:sp>
    <xdr:clientData/>
  </xdr:twoCellAnchor>
  <xdr:twoCellAnchor>
    <xdr:from>
      <xdr:col>16</xdr:col>
      <xdr:colOff>254000</xdr:colOff>
      <xdr:row>21</xdr:row>
      <xdr:rowOff>136769</xdr:rowOff>
    </xdr:from>
    <xdr:to>
      <xdr:col>18</xdr:col>
      <xdr:colOff>607295</xdr:colOff>
      <xdr:row>26</xdr:row>
      <xdr:rowOff>108920</xdr:rowOff>
    </xdr:to>
    <xdr:sp macro="" textlink="">
      <xdr:nvSpPr>
        <xdr:cNvPr id="3" name="Oval 2">
          <a:hlinkClick xmlns:r="http://schemas.openxmlformats.org/officeDocument/2006/relationships" r:id="rId1"/>
          <a:extLst>
            <a:ext uri="{FF2B5EF4-FFF2-40B4-BE49-F238E27FC236}">
              <a16:creationId xmlns:a16="http://schemas.microsoft.com/office/drawing/2014/main" id="{B80F712C-44FC-4F1F-9DB7-575E8AAA01F4}"/>
            </a:ext>
          </a:extLst>
        </xdr:cNvPr>
        <xdr:cNvSpPr/>
      </xdr:nvSpPr>
      <xdr:spPr>
        <a:xfrm>
          <a:off x="13432692" y="5040923"/>
          <a:ext cx="1642834" cy="900228"/>
        </a:xfrm>
        <a:prstGeom prst="ellipse">
          <a:avLst/>
        </a:prstGeom>
        <a:solidFill>
          <a:schemeClr val="accent6">
            <a:lumMod val="20000"/>
            <a:lumOff val="80000"/>
          </a:schemeClr>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solidFill>
                <a:sysClr val="windowText" lastClr="000000"/>
              </a:solidFill>
            </a:rPr>
            <a:t>Home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636578</xdr:colOff>
      <xdr:row>0</xdr:row>
      <xdr:rowOff>0</xdr:rowOff>
    </xdr:from>
    <xdr:to>
      <xdr:col>29</xdr:col>
      <xdr:colOff>605109</xdr:colOff>
      <xdr:row>30</xdr:row>
      <xdr:rowOff>12492</xdr:rowOff>
    </xdr:to>
    <xdr:sp macro="" textlink="">
      <xdr:nvSpPr>
        <xdr:cNvPr id="2" name="Rectangle 1">
          <a:extLst>
            <a:ext uri="{FF2B5EF4-FFF2-40B4-BE49-F238E27FC236}">
              <a16:creationId xmlns:a16="http://schemas.microsoft.com/office/drawing/2014/main" id="{F111B5AA-AB6B-44E3-B12F-1485F11DC930}"/>
            </a:ext>
          </a:extLst>
        </xdr:cNvPr>
        <xdr:cNvSpPr/>
      </xdr:nvSpPr>
      <xdr:spPr>
        <a:xfrm>
          <a:off x="18218791" y="0"/>
          <a:ext cx="5702269" cy="6570689"/>
        </a:xfrm>
        <a:prstGeom prst="rect">
          <a:avLst/>
        </a:prstGeom>
        <a:solidFill>
          <a:schemeClr val="accent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600" b="1">
              <a:solidFill>
                <a:sysClr val="windowText" lastClr="000000"/>
              </a:solidFill>
            </a:rPr>
            <a:t>Disclaimer and</a:t>
          </a:r>
          <a:r>
            <a:rPr lang="en-US" sz="1600" b="1" baseline="0">
              <a:solidFill>
                <a:sysClr val="windowText" lastClr="000000"/>
              </a:solidFill>
            </a:rPr>
            <a:t> other considerations:</a:t>
          </a:r>
        </a:p>
        <a:p>
          <a:pPr algn="l"/>
          <a:endParaRPr lang="en-US" sz="1600" b="1" baseline="0">
            <a:solidFill>
              <a:sysClr val="windowText" lastClr="000000"/>
            </a:solidFill>
          </a:endParaRPr>
        </a:p>
        <a:p>
          <a:r>
            <a:rPr lang="en-US" sz="1200">
              <a:solidFill>
                <a:sysClr val="windowText" lastClr="000000"/>
              </a:solidFill>
              <a:effectLst/>
              <a:latin typeface="+mn-lt"/>
              <a:ea typeface="+mn-ea"/>
              <a:cs typeface="+mn-cs"/>
            </a:rPr>
            <a:t>This budget sheet provides cost estimates for a medium/large sized (100 head) composting operation. These costs are from the perspective of a facility manager/cost share system and do not necessarily reflect the individual cost to a producer of composting one livestock animal. </a:t>
          </a:r>
        </a:p>
        <a:p>
          <a:endParaRPr lang="en-US" sz="1200">
            <a:solidFill>
              <a:sysClr val="windowText" lastClr="000000"/>
            </a:solidFill>
            <a:effectLst/>
            <a:latin typeface="+mn-lt"/>
            <a:ea typeface="+mn-ea"/>
            <a:cs typeface="+mn-cs"/>
          </a:endParaRPr>
        </a:p>
        <a:p>
          <a:r>
            <a:rPr lang="en-US" sz="1200">
              <a:solidFill>
                <a:sysClr val="windowText" lastClr="000000"/>
              </a:solidFill>
              <a:effectLst/>
              <a:latin typeface="+mn-lt"/>
              <a:ea typeface="+mn-ea"/>
              <a:cs typeface="+mn-cs"/>
            </a:rPr>
            <a:t>Carcass composting has an extensive array of varieties in which the practice can be conducted. This budget sheet is meant to serve as a basis for costs but expect cost to vary based on the considerations below. </a:t>
          </a:r>
        </a:p>
        <a:p>
          <a:endParaRPr lang="en-US" sz="1200">
            <a:solidFill>
              <a:sysClr val="windowText" lastClr="000000"/>
            </a:solidFill>
            <a:effectLst/>
            <a:latin typeface="+mn-lt"/>
            <a:ea typeface="+mn-ea"/>
            <a:cs typeface="+mn-cs"/>
          </a:endParaRPr>
        </a:p>
        <a:p>
          <a:r>
            <a:rPr lang="en-US" sz="1200" u="sng">
              <a:solidFill>
                <a:sysClr val="windowText" lastClr="000000"/>
              </a:solidFill>
              <a:effectLst/>
              <a:latin typeface="+mn-lt"/>
              <a:ea typeface="+mn-ea"/>
              <a:cs typeface="+mn-cs"/>
            </a:rPr>
            <a:t>Bin vs windrow:</a:t>
          </a:r>
          <a:r>
            <a:rPr lang="en-US" sz="1200">
              <a:solidFill>
                <a:sysClr val="windowText" lastClr="000000"/>
              </a:solidFill>
              <a:effectLst/>
              <a:latin typeface="+mn-lt"/>
              <a:ea typeface="+mn-ea"/>
              <a:cs typeface="+mn-cs"/>
            </a:rPr>
            <a:t> There are two major methods of carcass composting. Windrow composting consists of rows of compost in open piles, while bin composting (which this budget sheet takes after) consists of some sort of three-sided structure that has a large enough opening for a skid-steer or front-end loader to access one side for pile rotation. Costs can vary considerably depending on the materials used to make the structures. Common materials are jersey barriers, large hay bales, wooden pallets and other wooden or metal stalls. </a:t>
          </a:r>
        </a:p>
        <a:p>
          <a:endParaRPr lang="en-US" sz="1200">
            <a:solidFill>
              <a:sysClr val="windowText" lastClr="000000"/>
            </a:solidFill>
            <a:effectLst/>
            <a:latin typeface="+mn-lt"/>
            <a:ea typeface="+mn-ea"/>
            <a:cs typeface="+mn-cs"/>
          </a:endParaRPr>
        </a:p>
        <a:p>
          <a:r>
            <a:rPr lang="en-US" sz="1200" u="sng">
              <a:solidFill>
                <a:sysClr val="windowText" lastClr="000000"/>
              </a:solidFill>
              <a:effectLst/>
              <a:latin typeface="+mn-lt"/>
              <a:ea typeface="+mn-ea"/>
              <a:cs typeface="+mn-cs"/>
            </a:rPr>
            <a:t>Weather: </a:t>
          </a:r>
          <a:r>
            <a:rPr lang="en-US" sz="1200">
              <a:solidFill>
                <a:sysClr val="windowText" lastClr="000000"/>
              </a:solidFill>
              <a:effectLst/>
              <a:latin typeface="+mn-lt"/>
              <a:ea typeface="+mn-ea"/>
              <a:cs typeface="+mn-cs"/>
            </a:rPr>
            <a:t>Depending on the region, it may be good to consider a bin system with some sort of overhead shelter which can protect from excessive wind and rain. Compost piles cannot become over saturated with water otherwise they run the risk of not composting correctly. </a:t>
          </a:r>
        </a:p>
        <a:p>
          <a:endParaRPr lang="en-US" sz="1200">
            <a:solidFill>
              <a:sysClr val="windowText" lastClr="000000"/>
            </a:solidFill>
            <a:effectLst/>
            <a:latin typeface="+mn-lt"/>
            <a:ea typeface="+mn-ea"/>
            <a:cs typeface="+mn-cs"/>
          </a:endParaRPr>
        </a:p>
        <a:p>
          <a:r>
            <a:rPr lang="en-US" sz="1200" u="sng">
              <a:solidFill>
                <a:sysClr val="windowText" lastClr="000000"/>
              </a:solidFill>
              <a:effectLst/>
              <a:latin typeface="+mn-lt"/>
              <a:ea typeface="+mn-ea"/>
              <a:cs typeface="+mn-cs"/>
            </a:rPr>
            <a:t>Netting and fencing:</a:t>
          </a:r>
          <a:r>
            <a:rPr lang="en-US" sz="1200">
              <a:solidFill>
                <a:sysClr val="windowText" lastClr="000000"/>
              </a:solidFill>
              <a:effectLst/>
              <a:latin typeface="+mn-lt"/>
              <a:ea typeface="+mn-ea"/>
              <a:cs typeface="+mn-cs"/>
            </a:rPr>
            <a:t> Predator and scavenger access can be a real concern meaning proper electric fencing is crucial to success. This budget sheet calculates costs for mesh netting with hot wire, but fencing costs can vary. Another consideration which this budget sheet does not include is overhead netting. Not all facilities have this, but that might be a consideration depending on flying scavengers like birds and disease spread concerns.</a:t>
          </a:r>
        </a:p>
        <a:p>
          <a:endParaRPr lang="en-US" sz="1200">
            <a:solidFill>
              <a:sysClr val="windowText" lastClr="000000"/>
            </a:solidFill>
            <a:effectLst/>
            <a:latin typeface="+mn-lt"/>
            <a:ea typeface="+mn-ea"/>
            <a:cs typeface="+mn-cs"/>
          </a:endParaRPr>
        </a:p>
        <a:p>
          <a:r>
            <a:rPr lang="en-US" sz="1200" u="sng">
              <a:solidFill>
                <a:sysClr val="windowText" lastClr="000000"/>
              </a:solidFill>
              <a:effectLst/>
              <a:latin typeface="+mn-lt"/>
              <a:ea typeface="+mn-ea"/>
              <a:cs typeface="+mn-cs"/>
            </a:rPr>
            <a:t>Water:</a:t>
          </a:r>
          <a:r>
            <a:rPr lang="en-US" sz="1200">
              <a:solidFill>
                <a:sysClr val="windowText" lastClr="000000"/>
              </a:solidFill>
              <a:effectLst/>
              <a:latin typeface="+mn-lt"/>
              <a:ea typeface="+mn-ea"/>
              <a:cs typeface="+mn-cs"/>
            </a:rPr>
            <a:t> A composting facility's access to water is a major factor when considering price variability. To access water, some facilities may need to drill a well. It is also important to abide by state water quality regulations which may call for different water quality testing standards as well as requirements for substrate or concrete pile bases and drainage systems. There may also be specific limitations for what purposes mature compost can be used for within your state. </a:t>
          </a:r>
        </a:p>
        <a:p>
          <a:pPr algn="l"/>
          <a:endParaRPr lang="en-US" sz="1200" b="0" baseline="0">
            <a:solidFill>
              <a:sysClr val="windowText" lastClr="000000"/>
            </a:solidFill>
          </a:endParaRPr>
        </a:p>
        <a:p>
          <a:pPr algn="l"/>
          <a:endParaRPr lang="en-US" sz="1200" b="0">
            <a:solidFill>
              <a:sysClr val="windowText" lastClr="000000"/>
            </a:solidFill>
          </a:endParaRPr>
        </a:p>
      </xdr:txBody>
    </xdr:sp>
    <xdr:clientData/>
  </xdr:twoCellAnchor>
  <xdr:twoCellAnchor>
    <xdr:from>
      <xdr:col>16</xdr:col>
      <xdr:colOff>174548</xdr:colOff>
      <xdr:row>32</xdr:row>
      <xdr:rowOff>121642</xdr:rowOff>
    </xdr:from>
    <xdr:to>
      <xdr:col>16</xdr:col>
      <xdr:colOff>605057</xdr:colOff>
      <xdr:row>33</xdr:row>
      <xdr:rowOff>48955</xdr:rowOff>
    </xdr:to>
    <xdr:sp macro="" textlink="">
      <xdr:nvSpPr>
        <xdr:cNvPr id="3" name="Arrow: Up 2">
          <a:extLst>
            <a:ext uri="{FF2B5EF4-FFF2-40B4-BE49-F238E27FC236}">
              <a16:creationId xmlns:a16="http://schemas.microsoft.com/office/drawing/2014/main" id="{478D14E1-E10A-7AB6-DA95-CE26D95D07AD}"/>
            </a:ext>
          </a:extLst>
        </xdr:cNvPr>
        <xdr:cNvSpPr/>
      </xdr:nvSpPr>
      <xdr:spPr>
        <a:xfrm rot="14873519">
          <a:off x="15371058" y="6799014"/>
          <a:ext cx="114078" cy="430509"/>
        </a:xfrm>
        <a:prstGeom prst="upArrow">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17</xdr:col>
      <xdr:colOff>119530</xdr:colOff>
      <xdr:row>29</xdr:row>
      <xdr:rowOff>7470</xdr:rowOff>
    </xdr:from>
    <xdr:to>
      <xdr:col>20</xdr:col>
      <xdr:colOff>239059</xdr:colOff>
      <xdr:row>32</xdr:row>
      <xdr:rowOff>164353</xdr:rowOff>
    </xdr:to>
    <xdr:sp macro="" textlink="">
      <xdr:nvSpPr>
        <xdr:cNvPr id="4" name="Rectangle: Rounded Corners 3">
          <a:extLst>
            <a:ext uri="{FF2B5EF4-FFF2-40B4-BE49-F238E27FC236}">
              <a16:creationId xmlns:a16="http://schemas.microsoft.com/office/drawing/2014/main" id="{82700C51-7534-5A8A-F359-794431319970}"/>
            </a:ext>
          </a:extLst>
        </xdr:cNvPr>
        <xdr:cNvSpPr/>
      </xdr:nvSpPr>
      <xdr:spPr>
        <a:xfrm>
          <a:off x="15807765" y="6297705"/>
          <a:ext cx="2046941" cy="702236"/>
        </a:xfrm>
        <a:prstGeom prst="roundRect">
          <a:avLst/>
        </a:prstGeom>
        <a:solidFill>
          <a:schemeClr val="accent6">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ysClr val="windowText" lastClr="000000"/>
              </a:solidFill>
            </a:rPr>
            <a:t>This value goes directly in to the cost for the electric</a:t>
          </a:r>
          <a:r>
            <a:rPr lang="en-US" sz="1100" baseline="0">
              <a:solidFill>
                <a:sysClr val="windowText" lastClr="000000"/>
              </a:solidFill>
            </a:rPr>
            <a:t> fence in the carcass composting budget.</a:t>
          </a:r>
          <a:endParaRPr lang="en-US" sz="1100">
            <a:solidFill>
              <a:sysClr val="windowText" lastClr="000000"/>
            </a:solidFill>
          </a:endParaRPr>
        </a:p>
      </xdr:txBody>
    </xdr:sp>
    <xdr:clientData/>
  </xdr:twoCellAnchor>
  <xdr:twoCellAnchor>
    <xdr:from>
      <xdr:col>24</xdr:col>
      <xdr:colOff>57874</xdr:colOff>
      <xdr:row>31</xdr:row>
      <xdr:rowOff>173621</xdr:rowOff>
    </xdr:from>
    <xdr:to>
      <xdr:col>26</xdr:col>
      <xdr:colOff>417847</xdr:colOff>
      <xdr:row>36</xdr:row>
      <xdr:rowOff>123760</xdr:rowOff>
    </xdr:to>
    <xdr:sp macro="" textlink="">
      <xdr:nvSpPr>
        <xdr:cNvPr id="6" name="Oval 5">
          <a:hlinkClick xmlns:r="http://schemas.openxmlformats.org/officeDocument/2006/relationships" r:id="rId1"/>
          <a:extLst>
            <a:ext uri="{FF2B5EF4-FFF2-40B4-BE49-F238E27FC236}">
              <a16:creationId xmlns:a16="http://schemas.microsoft.com/office/drawing/2014/main" id="{60033F87-8962-4B74-8476-8930827AEFF1}"/>
            </a:ext>
          </a:extLst>
        </xdr:cNvPr>
        <xdr:cNvSpPr/>
      </xdr:nvSpPr>
      <xdr:spPr>
        <a:xfrm>
          <a:off x="19903633" y="6935165"/>
          <a:ext cx="1642834" cy="900228"/>
        </a:xfrm>
        <a:prstGeom prst="ellipse">
          <a:avLst/>
        </a:prstGeom>
        <a:solidFill>
          <a:schemeClr val="accent6">
            <a:lumMod val="20000"/>
            <a:lumOff val="80000"/>
          </a:schemeClr>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solidFill>
                <a:sysClr val="windowText" lastClr="000000"/>
              </a:solidFill>
            </a:rPr>
            <a:t>Home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224578</xdr:colOff>
      <xdr:row>29</xdr:row>
      <xdr:rowOff>131740</xdr:rowOff>
    </xdr:from>
    <xdr:to>
      <xdr:col>8</xdr:col>
      <xdr:colOff>134966</xdr:colOff>
      <xdr:row>36</xdr:row>
      <xdr:rowOff>73867</xdr:rowOff>
    </xdr:to>
    <xdr:sp macro="" textlink="">
      <xdr:nvSpPr>
        <xdr:cNvPr id="2" name="TextBox 1">
          <a:extLst>
            <a:ext uri="{FF2B5EF4-FFF2-40B4-BE49-F238E27FC236}">
              <a16:creationId xmlns:a16="http://schemas.microsoft.com/office/drawing/2014/main" id="{EB1B0B18-8B8D-33D2-B92D-C80E5231E93A}"/>
            </a:ext>
          </a:extLst>
        </xdr:cNvPr>
        <xdr:cNvSpPr txBox="1"/>
      </xdr:nvSpPr>
      <xdr:spPr>
        <a:xfrm>
          <a:off x="5329200" y="6192750"/>
          <a:ext cx="2134184" cy="13300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kern="1200"/>
            <a:t>Annual</a:t>
          </a:r>
          <a:r>
            <a:rPr lang="en-US" sz="1100" b="1" u="sng" kern="1200" baseline="0"/>
            <a:t> Vaccinations: (Averages)</a:t>
          </a:r>
        </a:p>
        <a:p>
          <a:r>
            <a:rPr lang="en-US" sz="1100" kern="1200" baseline="0"/>
            <a:t>Heartworm prevention: $78</a:t>
          </a:r>
        </a:p>
        <a:p>
          <a:r>
            <a:rPr lang="en-US" sz="1100" kern="1200" baseline="0"/>
            <a:t>+ Flea and tick prevention: $120</a:t>
          </a:r>
        </a:p>
        <a:p>
          <a:r>
            <a:rPr lang="en-US" sz="1100" kern="1200" baseline="0"/>
            <a:t>+ Distemper vaccination: $50</a:t>
          </a:r>
        </a:p>
        <a:p>
          <a:r>
            <a:rPr lang="en-US" sz="1100" kern="1200" baseline="0"/>
            <a:t>+ Deworming: $140</a:t>
          </a:r>
        </a:p>
        <a:p>
          <a:r>
            <a:rPr lang="en-US" sz="1100" kern="1200" baseline="0"/>
            <a:t>+ Rabies: $15</a:t>
          </a:r>
        </a:p>
        <a:p>
          <a:r>
            <a:rPr lang="en-US" sz="1100" kern="1200" baseline="0"/>
            <a:t>= Total: </a:t>
          </a:r>
          <a:r>
            <a:rPr lang="en-US" sz="1100" b="1" kern="1200" baseline="0"/>
            <a:t>$403</a:t>
          </a:r>
          <a:endParaRPr lang="en-US" sz="1100" b="1" kern="1200"/>
        </a:p>
      </xdr:txBody>
    </xdr:sp>
    <xdr:clientData/>
  </xdr:twoCellAnchor>
  <xdr:twoCellAnchor>
    <xdr:from>
      <xdr:col>11</xdr:col>
      <xdr:colOff>15072</xdr:colOff>
      <xdr:row>0</xdr:row>
      <xdr:rowOff>280</xdr:rowOff>
    </xdr:from>
    <xdr:to>
      <xdr:col>17</xdr:col>
      <xdr:colOff>288610</xdr:colOff>
      <xdr:row>16</xdr:row>
      <xdr:rowOff>144982</xdr:rowOff>
    </xdr:to>
    <xdr:sp macro="" textlink="">
      <xdr:nvSpPr>
        <xdr:cNvPr id="3" name="Rectangle 2">
          <a:extLst>
            <a:ext uri="{FF2B5EF4-FFF2-40B4-BE49-F238E27FC236}">
              <a16:creationId xmlns:a16="http://schemas.microsoft.com/office/drawing/2014/main" id="{F7A8987B-2B9F-1B34-4306-5524747F0B10}"/>
            </a:ext>
          </a:extLst>
        </xdr:cNvPr>
        <xdr:cNvSpPr/>
      </xdr:nvSpPr>
      <xdr:spPr>
        <a:xfrm>
          <a:off x="9270337" y="280"/>
          <a:ext cx="4117255" cy="3792861"/>
        </a:xfrm>
        <a:prstGeom prst="rect">
          <a:avLst/>
        </a:prstGeom>
        <a:solidFill>
          <a:schemeClr val="accent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600" b="1">
              <a:solidFill>
                <a:sysClr val="windowText" lastClr="000000"/>
              </a:solidFill>
            </a:rPr>
            <a:t>Disclaimer and</a:t>
          </a:r>
          <a:r>
            <a:rPr lang="en-US" sz="1600" b="1" baseline="0">
              <a:solidFill>
                <a:sysClr val="windowText" lastClr="000000"/>
              </a:solidFill>
            </a:rPr>
            <a:t> other considerations:</a:t>
          </a:r>
        </a:p>
        <a:p>
          <a:pPr algn="l"/>
          <a:endParaRPr lang="en-US" sz="1600" b="1" baseline="0">
            <a:solidFill>
              <a:sysClr val="windowText" lastClr="000000"/>
            </a:solidFill>
          </a:endParaRPr>
        </a:p>
        <a:p>
          <a:r>
            <a:rPr lang="en-US" sz="1200">
              <a:solidFill>
                <a:sysClr val="windowText" lastClr="000000"/>
              </a:solidFill>
              <a:effectLst/>
              <a:latin typeface="+mn-lt"/>
              <a:ea typeface="+mn-ea"/>
              <a:cs typeface="+mn-cs"/>
            </a:rPr>
            <a:t>This budget sheet is a best estimate at livestock guardian dog pricing, however with any animal comes a variety of health care costs. The risk of injury or death of a LGD is always present and unexpected medical costs can be incurred. Some state wolf depredation programs compensate for LGD depredation. There are also various insurance plans that potentially cover costs related to injury and death for working dogs. </a:t>
          </a:r>
        </a:p>
        <a:p>
          <a:endParaRPr lang="en-US" sz="1200">
            <a:solidFill>
              <a:sysClr val="windowText" lastClr="000000"/>
            </a:solidFill>
            <a:effectLst/>
            <a:latin typeface="+mn-lt"/>
            <a:ea typeface="+mn-ea"/>
            <a:cs typeface="+mn-cs"/>
          </a:endParaRPr>
        </a:p>
        <a:p>
          <a:r>
            <a:rPr lang="en-US" sz="1200">
              <a:solidFill>
                <a:sysClr val="windowText" lastClr="000000"/>
              </a:solidFill>
              <a:effectLst/>
              <a:latin typeface="+mn-lt"/>
              <a:ea typeface="+mn-ea"/>
              <a:cs typeface="+mn-cs"/>
            </a:rPr>
            <a:t>Best practice also recommends having more than one LGD for the most effective outcome as LGD puppies often learn best from more established dogs. Additionally, two or more dogs can better work together to protect and mark territory.</a:t>
          </a:r>
        </a:p>
        <a:p>
          <a:endParaRPr lang="en-US" sz="1200">
            <a:solidFill>
              <a:sysClr val="windowText" lastClr="000000"/>
            </a:solidFill>
            <a:effectLst/>
            <a:latin typeface="+mn-lt"/>
            <a:ea typeface="+mn-ea"/>
            <a:cs typeface="+mn-cs"/>
          </a:endParaRPr>
        </a:p>
        <a:p>
          <a:r>
            <a:rPr lang="en-US" sz="1200">
              <a:solidFill>
                <a:sysClr val="windowText" lastClr="000000"/>
              </a:solidFill>
              <a:effectLst/>
              <a:latin typeface="+mn-lt"/>
              <a:ea typeface="+mn-ea"/>
              <a:cs typeface="+mn-cs"/>
            </a:rPr>
            <a:t>It’s also important to consider that LGDs have a limited number of working years where they perform at their prime as both puppies and mature dogs do not have the same agility and working proficiency as a young adolescent dog. </a:t>
          </a:r>
        </a:p>
      </xdr:txBody>
    </xdr:sp>
    <xdr:clientData/>
  </xdr:twoCellAnchor>
  <xdr:twoCellAnchor>
    <xdr:from>
      <xdr:col>13</xdr:col>
      <xdr:colOff>103909</xdr:colOff>
      <xdr:row>18</xdr:row>
      <xdr:rowOff>99580</xdr:rowOff>
    </xdr:from>
    <xdr:to>
      <xdr:col>15</xdr:col>
      <xdr:colOff>465198</xdr:colOff>
      <xdr:row>23</xdr:row>
      <xdr:rowOff>73286</xdr:rowOff>
    </xdr:to>
    <xdr:sp macro="" textlink="">
      <xdr:nvSpPr>
        <xdr:cNvPr id="5" name="Oval 4">
          <a:hlinkClick xmlns:r="http://schemas.openxmlformats.org/officeDocument/2006/relationships" r:id="rId1"/>
          <a:extLst>
            <a:ext uri="{FF2B5EF4-FFF2-40B4-BE49-F238E27FC236}">
              <a16:creationId xmlns:a16="http://schemas.microsoft.com/office/drawing/2014/main" id="{8AAEA2AB-9A61-4F83-86EA-D247358F505A}"/>
            </a:ext>
          </a:extLst>
        </xdr:cNvPr>
        <xdr:cNvSpPr/>
      </xdr:nvSpPr>
      <xdr:spPr>
        <a:xfrm>
          <a:off x="10642023" y="4113069"/>
          <a:ext cx="1642834" cy="900228"/>
        </a:xfrm>
        <a:prstGeom prst="ellipse">
          <a:avLst/>
        </a:prstGeom>
        <a:solidFill>
          <a:schemeClr val="accent6">
            <a:lumMod val="20000"/>
            <a:lumOff val="80000"/>
          </a:schemeClr>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solidFill>
                <a:sysClr val="windowText" lastClr="000000"/>
              </a:solidFill>
            </a:rPr>
            <a:t>Home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17</xdr:row>
      <xdr:rowOff>100472</xdr:rowOff>
    </xdr:from>
    <xdr:to>
      <xdr:col>6</xdr:col>
      <xdr:colOff>1120176</xdr:colOff>
      <xdr:row>30</xdr:row>
      <xdr:rowOff>70337</xdr:rowOff>
    </xdr:to>
    <xdr:sp macro="" textlink="">
      <xdr:nvSpPr>
        <xdr:cNvPr id="2" name="Rectangle 1">
          <a:extLst>
            <a:ext uri="{FF2B5EF4-FFF2-40B4-BE49-F238E27FC236}">
              <a16:creationId xmlns:a16="http://schemas.microsoft.com/office/drawing/2014/main" id="{BFFAD7B9-C231-4746-B132-E2E1B2B89743}"/>
            </a:ext>
          </a:extLst>
        </xdr:cNvPr>
        <xdr:cNvSpPr/>
      </xdr:nvSpPr>
      <xdr:spPr>
        <a:xfrm>
          <a:off x="0" y="3406380"/>
          <a:ext cx="7632345" cy="2332065"/>
        </a:xfrm>
        <a:prstGeom prst="rect">
          <a:avLst/>
        </a:prstGeom>
        <a:solidFill>
          <a:schemeClr val="accent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600" b="1">
              <a:solidFill>
                <a:sysClr val="windowText" lastClr="000000"/>
              </a:solidFill>
            </a:rPr>
            <a:t>Disclaimer and</a:t>
          </a:r>
          <a:r>
            <a:rPr lang="en-US" sz="1600" b="1" baseline="0">
              <a:solidFill>
                <a:sysClr val="windowText" lastClr="000000"/>
              </a:solidFill>
            </a:rPr>
            <a:t> other considerations:</a:t>
          </a:r>
        </a:p>
        <a:p>
          <a:pPr algn="l"/>
          <a:endParaRPr lang="en-US" sz="1600" b="1" baseline="0">
            <a:solidFill>
              <a:sysClr val="windowText" lastClr="000000"/>
            </a:solidFill>
          </a:endParaRPr>
        </a:p>
        <a:p>
          <a:r>
            <a:rPr lang="en-US" sz="1200" b="0">
              <a:solidFill>
                <a:sysClr val="windowText" lastClr="000000"/>
              </a:solidFill>
              <a:effectLst/>
              <a:latin typeface="+mn-lt"/>
              <a:ea typeface="+mn-ea"/>
              <a:cs typeface="+mn-cs"/>
            </a:rPr>
            <a:t>*None of these devices are being promoted as a paid partnership of any kind. The links are meant to serve as examples of predator deterrent devices. The products displayed by these links cannot guarantee the effectiveness of each device nor how they compare to one another. </a:t>
          </a:r>
        </a:p>
        <a:p>
          <a:endParaRPr lang="en-US" sz="1200" b="0">
            <a:solidFill>
              <a:sysClr val="windowText" lastClr="000000"/>
            </a:solidFill>
            <a:effectLst/>
            <a:latin typeface="+mn-lt"/>
            <a:ea typeface="+mn-ea"/>
            <a:cs typeface="+mn-cs"/>
          </a:endParaRPr>
        </a:p>
        <a:p>
          <a:r>
            <a:rPr lang="en-US" sz="1200" b="0">
              <a:solidFill>
                <a:sysClr val="windowText" lastClr="000000"/>
              </a:solidFill>
              <a:effectLst/>
              <a:latin typeface="+mn-lt"/>
              <a:ea typeface="+mn-ea"/>
              <a:cs typeface="+mn-cs"/>
            </a:rPr>
            <a:t>*The annualized cost range of each device is calculated assuming a five-year life span of each of these devices with a 4% interest rate.</a:t>
          </a:r>
        </a:p>
        <a:p>
          <a:endParaRPr lang="en-US" sz="1200" b="0">
            <a:solidFill>
              <a:sysClr val="windowText" lastClr="000000"/>
            </a:solidFill>
            <a:effectLst/>
            <a:latin typeface="+mn-lt"/>
            <a:ea typeface="+mn-ea"/>
            <a:cs typeface="+mn-cs"/>
          </a:endParaRPr>
        </a:p>
        <a:p>
          <a:r>
            <a:rPr lang="en-US" sz="1200" b="0">
              <a:solidFill>
                <a:sysClr val="windowText" lastClr="000000"/>
              </a:solidFill>
              <a:effectLst/>
              <a:latin typeface="+mn-lt"/>
              <a:ea typeface="+mn-ea"/>
              <a:cs typeface="+mn-cs"/>
            </a:rPr>
            <a:t>*There likely exist products that lay in a price range outside of these estimated ranges depending on sales, year sold, changes in manufacturing, etc.</a:t>
          </a:r>
        </a:p>
        <a:p>
          <a:pPr algn="l"/>
          <a:endParaRPr lang="en-US" sz="1200" b="1" baseline="0">
            <a:solidFill>
              <a:sysClr val="windowText" lastClr="000000"/>
            </a:solidFill>
          </a:endParaRPr>
        </a:p>
      </xdr:txBody>
    </xdr:sp>
    <xdr:clientData/>
  </xdr:twoCellAnchor>
  <xdr:twoCellAnchor>
    <xdr:from>
      <xdr:col>8</xdr:col>
      <xdr:colOff>87923</xdr:colOff>
      <xdr:row>18</xdr:row>
      <xdr:rowOff>164123</xdr:rowOff>
    </xdr:from>
    <xdr:to>
      <xdr:col>10</xdr:col>
      <xdr:colOff>452942</xdr:colOff>
      <xdr:row>23</xdr:row>
      <xdr:rowOff>155812</xdr:rowOff>
    </xdr:to>
    <xdr:sp macro="" textlink="">
      <xdr:nvSpPr>
        <xdr:cNvPr id="4" name="Oval 3">
          <a:hlinkClick xmlns:r="http://schemas.openxmlformats.org/officeDocument/2006/relationships" r:id="rId1"/>
          <a:extLst>
            <a:ext uri="{FF2B5EF4-FFF2-40B4-BE49-F238E27FC236}">
              <a16:creationId xmlns:a16="http://schemas.microsoft.com/office/drawing/2014/main" id="{64E90B68-AD42-4364-828C-1DDAE417E852}"/>
            </a:ext>
          </a:extLst>
        </xdr:cNvPr>
        <xdr:cNvSpPr/>
      </xdr:nvSpPr>
      <xdr:spPr>
        <a:xfrm>
          <a:off x="8510954" y="3651738"/>
          <a:ext cx="1642834" cy="900228"/>
        </a:xfrm>
        <a:prstGeom prst="ellipse">
          <a:avLst/>
        </a:prstGeom>
        <a:solidFill>
          <a:schemeClr val="accent6">
            <a:lumMod val="20000"/>
            <a:lumOff val="80000"/>
          </a:schemeClr>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a:solidFill>
                <a:sysClr val="windowText" lastClr="000000"/>
              </a:solidFill>
            </a:rPr>
            <a:t>Home</a:t>
          </a:r>
        </a:p>
      </xdr:txBody>
    </xdr:sp>
    <xdr:clientData/>
  </xdr:twoCellAnchor>
</xdr:wsDr>
</file>

<file path=xl/persons/person.xml><?xml version="1.0" encoding="utf-8"?>
<personList xmlns="http://schemas.microsoft.com/office/spreadsheetml/2018/threadedcomments" xmlns:x="http://schemas.openxmlformats.org/spreadsheetml/2006/main">
  <person displayName="Mia Morones" id="{FD5A2DBB-4D31-4B03-9A3B-B409F157FF32}" userId="3719dc077d589d88"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74" dT="2024-11-19T23:55:19.05" personId="{FD5A2DBB-4D31-4B03-9A3B-B409F157FF32}" id="{D3012A53-67E9-4223-AB85-71B1FF4328F3}">
    <text>The $655 for the guardian dog + the $450 travel fee is based on USDA APHIS Wildlife Services Nonlethal Initiative for Livestock Protection 2021 report.</text>
  </threadedComment>
  <threadedComment ref="C77" dT="2024-11-18T16:09:22.23" personId="{FD5A2DBB-4D31-4B03-9A3B-B409F157FF32}" id="{02159F1B-4DEF-4EA3-8B6D-4B576E4DA6F5}">
    <text>There is a slew of annual vaccines that dogs need to get every year so I aggregated them for simplicity. The list of the annual vaccinations and their individual prices can be found to the right of the budget sheet.</text>
  </threadedComment>
  <threadedComment ref="E84" dT="2024-11-20T00:43:01.09" personId="{FD5A2DBB-4D31-4B03-9A3B-B409F157FF32}" id="{A5852946-8D62-40AA-8C70-F769E051FE86}">
    <text>I haven’t found conclusive information for how much personal training goes into a guardian dog. The wildlife specialist I spoke to said they require more attention in the first two years but that they guard naturally if introduced to livestock early and if in the presences of other established guardian dogs.</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amazon.com/WORKPRO-plier/dp/B0BLR6BC46/ref=asc_df_B0BLR6BC46?tag=bingshoppinga-20&amp;linkCode=df0&amp;hvadid=80127097346783&amp;hvnetw=o&amp;hvqmt=e&amp;hvbmt=be&amp;hvdev=c&amp;hvlocint=&amp;hvlocphy=&amp;hvtargid=pla-4583726562194364&amp;psc=1" TargetMode="External"/><Relationship Id="rId13" Type="http://schemas.openxmlformats.org/officeDocument/2006/relationships/hyperlink" Target="https://www.tractorsupply.com/tsc/product/american-farmworks-yellow-screw-on-t-post-insulators?msockid=2ef92e586294600f2a5b3a83636c61ae" TargetMode="External"/><Relationship Id="rId18" Type="http://schemas.openxmlformats.org/officeDocument/2006/relationships/printerSettings" Target="../printerSettings/printerSettings2.bin"/><Relationship Id="rId3" Type="http://schemas.openxmlformats.org/officeDocument/2006/relationships/hyperlink" Target="https://www.nrdc.org/sites/default/files/installing-turbo-fladry-guide-ib.pdf" TargetMode="External"/><Relationship Id="rId7" Type="http://schemas.openxmlformats.org/officeDocument/2006/relationships/hyperlink" Target="https://www.tractorsupply.com/tsc/product/red-brand-galvanized-electric-fence-wire-17-gauge-1320-ft" TargetMode="External"/><Relationship Id="rId12" Type="http://schemas.openxmlformats.org/officeDocument/2006/relationships/hyperlink" Target="https://www.amazon.com/EFencSolv-Electric-Fence-Geared-Reel/dp/B0BRVP7W3S?th=1" TargetMode="External"/><Relationship Id="rId17" Type="http://schemas.openxmlformats.org/officeDocument/2006/relationships/hyperlink" Target="https://westernwildlife.org/wp-content/uploads/2015/10/Fact-Sheet-5-Fencing-Fladry-and-Night-penning.pdf" TargetMode="External"/><Relationship Id="rId2" Type="http://schemas.openxmlformats.org/officeDocument/2006/relationships/hyperlink" Target="https://extension.colostate.edu/wp-content/uploads/2022/01/FladryManual.pdf" TargetMode="External"/><Relationship Id="rId16" Type="http://schemas.openxmlformats.org/officeDocument/2006/relationships/hyperlink" Target="https://www.premier1supplies.com/p/fence-fault-finder?variant=133500&amp;utm_id=361650029&amp;msclkid=a6622bcf4a1217730c8b4d0cc90cf259&amp;utm_source=bing&amp;utm_medium=cpc&amp;utm_campaign=(ROI)%20Smart%20Shopping%20-%20Fencing&amp;utm_term=2331858004542112&amp;utm_content=Ad%20group" TargetMode="External"/><Relationship Id="rId1" Type="http://schemas.openxmlformats.org/officeDocument/2006/relationships/hyperlink" Target="https://extension.colostate.edu/wp-content/uploads/2022/01/installing-turbo-fladry-guide-ib.pdf" TargetMode="External"/><Relationship Id="rId6" Type="http://schemas.openxmlformats.org/officeDocument/2006/relationships/hyperlink" Target="https://www.tractorsupply.com/tsc/product/rubber-gate-handle" TargetMode="External"/><Relationship Id="rId11" Type="http://schemas.openxmlformats.org/officeDocument/2006/relationships/hyperlink" Target="https://www.tractorsupply.com/tsc/product/countyline-t-post-pounder?msockid=2ef92e586294600f2a5b3a83636c61ae" TargetMode="External"/><Relationship Id="rId5" Type="http://schemas.openxmlformats.org/officeDocument/2006/relationships/hyperlink" Target="https://www.homedepot.com/pep/Field-Guardian-6-ft-Complete-Grounding-Kit-900125/204620671?clickid=XpnX4vQl9xyKUVDVFBT%3AjzgRUkCSGM2NU2OyR40&amp;irgwc=1&amp;cm_mmc=afl-ir-2003851-1420157-EdgeBingFlow" TargetMode="External"/><Relationship Id="rId15" Type="http://schemas.openxmlformats.org/officeDocument/2006/relationships/hyperlink" Target="https://www.premier1supplies.com/c/fencing/electric-fence-energizers" TargetMode="External"/><Relationship Id="rId10" Type="http://schemas.openxmlformats.org/officeDocument/2006/relationships/hyperlink" Target="https://www.tractorsupply.com/tsc/product/sunguard-3-8-in-fiberglass-rod-post?msockid=2ef92e586294600f2a5b3a83636c61ae" TargetMode="External"/><Relationship Id="rId19" Type="http://schemas.openxmlformats.org/officeDocument/2006/relationships/drawing" Target="../drawings/drawing3.xml"/><Relationship Id="rId4" Type="http://schemas.openxmlformats.org/officeDocument/2006/relationships/hyperlink" Target="https://www.tractorsupply.com/tsc/product/patriot-rod-post-insulator-yellow-820020-1715917?cid=Shopping-Bing-Product1715917-&amp;msclkid=0374fb8053e61bfbb3949c99605e5b87&amp;utm_source=bing&amp;utm_medium=cpc&amp;utm_campaign=Shopping%20-%20All%20Products&amp;utm_term=4585375807245420&amp;utm_content=All%20Products" TargetMode="External"/><Relationship Id="rId9" Type="http://schemas.openxmlformats.org/officeDocument/2006/relationships/hyperlink" Target="https://www.northerntool.com/products/klutch-rubber-head-mallet-2-lb-fiberglass-handle-39932?ogmap=SEM|DSA|BING|STND|c|SITEWIDE||NT%20DSA%20Feed|DSA%20Feed|ALL%20PRODUCTS|361481939|1187473442406094&amp;gclid=ee121acdb20a10c44db17c0e16f54d22&amp;gclsrc=3p.ds&amp;&amp;utm_source=bing_PPC&amp;utm_medium=NT%20DSA%20Feed&amp;utm_campaign=DSA%20Feed&amp;utm_content=ALL%20PRODUCTS&amp;cmpid=361481939&amp;agid=1187473442406094&amp;tgtid=dat-2326016848613034:loc-4085&amp;msclkid=ee121acdb20a10c44db17c0e16f54d22" TargetMode="External"/><Relationship Id="rId14" Type="http://schemas.openxmlformats.org/officeDocument/2006/relationships/hyperlink" Target="https://www.uline.com/Product/AdvSearchResult?keywords=safety+fence+t+post&amp;SubGroups=1061&amp;view=ALL&amp;pricode=WS190&amp;utm_source=Bing&amp;utm_medium=cpc&amp;utm_term=t%20posts&amp;utm_campaign=Safety%20Products&amp;AdKeyword=t%20posts&amp;AdMatchtype=e&amp;msclkid=c4699d3edbc11c7046b0fbfd43da49cc" TargetMode="Externa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www.tractorsupply.com/tsc/product/ghost-controls-solar-panel-30w-with-brackets-no-post-ax30w?msockid=2e022c62f70a67a21514390bf6d366d0" TargetMode="External"/><Relationship Id="rId7" Type="http://schemas.openxmlformats.org/officeDocument/2006/relationships/hyperlink" Target="https://defenders.org/sites/default/files/publications/livestock_and_wolves.pdf" TargetMode="External"/><Relationship Id="rId2" Type="http://schemas.openxmlformats.org/officeDocument/2006/relationships/hyperlink" Target="https://jefferspet.com/products/speedrite-3000-dual-purpose-energizer-3-joule?currency=USD&amp;variant=44380430827709&amp;stkn=724309ba82d0&amp;msclkid=9fa33b6cc93c15c7144e5c148dea359c&amp;utm_source=bing&amp;utm_medium=cpc&amp;utm_campaign=US%20%7C%20PMax%20%7C%20Catch%20All%20-%20no%20audience%20signals%20%7C%20ROAS%20700%25&amp;utm_term=2331926724053132&amp;utm_content=No%20Asset" TargetMode="External"/><Relationship Id="rId1" Type="http://schemas.openxmlformats.org/officeDocument/2006/relationships/hyperlink" Target="https://www.tractorsupply.com/tsc/product/starkline-electric-positive-negative-netting-48-in-x-164-ft-un48164-p-n-1736056?cid=Shopping-Bing-Product1736056-&amp;msclkid=270630e984d713bdabd65791c40e6a83&amp;utm_source=bing&amp;utm_medium=cpc&amp;utm_campaign=Shopping%20-%20All%20Products&amp;utm_term=4585375807245420&amp;utm_content=All%20Products" TargetMode="External"/><Relationship Id="rId6" Type="http://schemas.openxmlformats.org/officeDocument/2006/relationships/hyperlink" Target="https://westernwildlife.org/wp-content/uploads/2015/10/Fact-Sheet-5-Fencing-Fladry-and-Night-penning.pdf" TargetMode="External"/><Relationship Id="rId5" Type="http://schemas.openxmlformats.org/officeDocument/2006/relationships/hyperlink" Target="https://westernlandowners.org/wp-content/uploads/2024/08/Electric-Fencing-Tool-Kit-FINAL.pdf" TargetMode="External"/><Relationship Id="rId4" Type="http://schemas.openxmlformats.org/officeDocument/2006/relationships/hyperlink" Target="https://www.tractorsupply.com/tsc/product/ghost-controls-battery-box-kit-with-batteries-and-harness-abbt2" TargetMode="External"/><Relationship Id="rId9"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8" Type="http://schemas.openxmlformats.org/officeDocument/2006/relationships/hyperlink" Target="https://www.eia.gov/petroleum/gasdiesel/" TargetMode="External"/><Relationship Id="rId3" Type="http://schemas.openxmlformats.org/officeDocument/2006/relationships/hyperlink" Target="https://www.irs.gov/newsroom/irs-issues-standard-mileage-rates-for-2024-mileage-rate-increases-to-67-cents-a-mile-up-1-point-5-cents-from-2023" TargetMode="External"/><Relationship Id="rId7" Type="http://schemas.openxmlformats.org/officeDocument/2006/relationships/hyperlink" Target="https://conservationnw.org/our-work/wildlife/range-rider-pilot-project/" TargetMode="External"/><Relationship Id="rId2" Type="http://schemas.openxmlformats.org/officeDocument/2006/relationships/hyperlink" Target="https://www.mypatriotsupply.com/products/max-bear-and-mountain-lion-attack-deterrent-spray-9-2-oz?currency=USD&amp;variant=41568046809181&amp;stkn=a4702bdecb9c&amp;b_campaign=JUICE%20%7C%20PMAX%20%7C%20Catch%20All&amp;b_campaignid=401558888&amp;b_term=default&amp;b_productid=CS_BEAR_SPRAY&amp;b_adgroup=Catch%20All&amp;b_adgroupid=1296325338894177&amp;b_adid=81020387986955&amp;b_termid=pla-2332820076961484&amp;b_isproduct=product&amp;msclkid=d4dfcc76597d146f631eaaaecc72faf9&amp;utm_source=bing&amp;utm_medium=cpc&amp;utm_campaign=JUICE%20%7C%20PMAX%20%7C%20Catch%20All&amp;utm_term=2332820076961484&amp;utm_content=Catch%20All" TargetMode="External"/><Relationship Id="rId1" Type="http://schemas.openxmlformats.org/officeDocument/2006/relationships/hyperlink" Target="https://www.eia.gov/petroleum/gasdiesel/" TargetMode="External"/><Relationship Id="rId6" Type="http://schemas.openxmlformats.org/officeDocument/2006/relationships/hyperlink" Target="https://extension.colostate.edu/wp-content/uploads/2022/01/WolfResourcesGuide.pdf" TargetMode="External"/><Relationship Id="rId5" Type="http://schemas.openxmlformats.org/officeDocument/2006/relationships/hyperlink" Target="https://westernlandowners.org/wp-content/uploads/2024/08/Range-Riding-Tool-Kit-FINAL.pdf" TargetMode="External"/><Relationship Id="rId10" Type="http://schemas.openxmlformats.org/officeDocument/2006/relationships/drawing" Target="../drawings/drawing5.xml"/><Relationship Id="rId4" Type="http://schemas.openxmlformats.org/officeDocument/2006/relationships/hyperlink" Target="https://www.homedepot.com/p/Everbilt-8-ft-x-10-ft-Brown-and-Silver-Heavy-Duty-Tarp-PY008/308137797" TargetMode="External"/><Relationship Id="rId9"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sare.org/wp-content/uploads/CompostingManual-final-webview.pdf" TargetMode="External"/><Relationship Id="rId13" Type="http://schemas.openxmlformats.org/officeDocument/2006/relationships/drawing" Target="../drawings/drawing6.xml"/><Relationship Id="rId3" Type="http://schemas.openxmlformats.org/officeDocument/2006/relationships/hyperlink" Target="https://www.agriculturesolutions.com/agtec-heavy-duty-fast-response-compost-thermometer-36in-0-200-f" TargetMode="External"/><Relationship Id="rId7" Type="http://schemas.openxmlformats.org/officeDocument/2006/relationships/hyperlink" Target="https://extension.okstate.edu/fact-sheets/on-farm-mortality-composting-of-livestock-carcasses.html" TargetMode="External"/><Relationship Id="rId12" Type="http://schemas.openxmlformats.org/officeDocument/2006/relationships/printerSettings" Target="../printerSettings/printerSettings5.bin"/><Relationship Id="rId2" Type="http://schemas.openxmlformats.org/officeDocument/2006/relationships/hyperlink" Target="https://www.tractorsupply.com/tsc/product/non-climb-horse-fence-48-in-x-100-ft" TargetMode="External"/><Relationship Id="rId1" Type="http://schemas.openxmlformats.org/officeDocument/2006/relationships/hyperlink" Target="https://www.tractorsupply.com/tsc/product/studded-t-post-6-ft-125-lb-per-foot" TargetMode="External"/><Relationship Id="rId6" Type="http://schemas.openxmlformats.org/officeDocument/2006/relationships/hyperlink" Target="https://www.homedepot.com/p/Gorilla-ToughLite-5-8-in-x-100-ft-Heavy-Duty-Garden-Hose-HYB55800/325990190" TargetMode="External"/><Relationship Id="rId11" Type="http://schemas.openxmlformats.org/officeDocument/2006/relationships/hyperlink" Target="https://www.tractorsupply.com/tsc/product/rain-bird-electronic-garden-hose-watering-timer-1zehtmr" TargetMode="External"/><Relationship Id="rId5" Type="http://schemas.openxmlformats.org/officeDocument/2006/relationships/hyperlink" Target="https://48barriers.com/products/10-used-concrete-jersey-barrier/" TargetMode="External"/><Relationship Id="rId10" Type="http://schemas.openxmlformats.org/officeDocument/2006/relationships/hyperlink" Target="https://homeguide.com/costs/concrete-slab-cost" TargetMode="External"/><Relationship Id="rId4" Type="http://schemas.openxmlformats.org/officeDocument/2006/relationships/hyperlink" Target="https://www.myteeproducts.com/portable-hay-moisture-tester-with-calibration-clip.html?fee=4&amp;fep=316&amp;msclkid=8881e5c7637b11d90b8682e5a665e1ba&amp;utm_source=bing&amp;utm_medium=cpc&amp;utm_campaign=STD%3A%20FS%20-%20Moisture%20Tester%20-%20AT%20-%20AS&amp;utm_term=4582695812816743&amp;utm_content=AT" TargetMode="External"/><Relationship Id="rId9" Type="http://schemas.openxmlformats.org/officeDocument/2006/relationships/hyperlink" Target="https://flsart.org/acmwg/carcass_disposal_guidance/Composting%20Animal%20Mortalities%20Manual.pdf"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sanangelo.tamu.edu/files/2013/08/Livestock-Guardian-Dogs1.pdf" TargetMode="External"/><Relationship Id="rId13" Type="http://schemas.openxmlformats.org/officeDocument/2006/relationships/vmlDrawing" Target="../drawings/vmlDrawing1.vml"/><Relationship Id="rId3" Type="http://schemas.openxmlformats.org/officeDocument/2006/relationships/hyperlink" Target="https://www.dogster.com/dog-health-care/dog-puppy-vaccinations-cost" TargetMode="External"/><Relationship Id="rId7" Type="http://schemas.openxmlformats.org/officeDocument/2006/relationships/hyperlink" Target="https://sanangelo.tamu.edu/2020/03/02/the-guardian-way-march-2020/" TargetMode="External"/><Relationship Id="rId12" Type="http://schemas.openxmlformats.org/officeDocument/2006/relationships/drawing" Target="../drawings/drawing7.xml"/><Relationship Id="rId2" Type="http://schemas.openxmlformats.org/officeDocument/2006/relationships/hyperlink" Target="https://spendonpet.com/cost-to-neuter-or-spay-a-dog/" TargetMode="External"/><Relationship Id="rId1" Type="http://schemas.openxmlformats.org/officeDocument/2006/relationships/hyperlink" Target="https://www.aphis.usda.gov/sites/default/files/20220127_WS%20Nonlethal%20Initiative%20FY21%20Annual%20Report_Compressed_Final.pdf" TargetMode="External"/><Relationship Id="rId6" Type="http://schemas.openxmlformats.org/officeDocument/2006/relationships/hyperlink" Target="https://vety.com/costs/cost-to-microchip-a-dog" TargetMode="External"/><Relationship Id="rId11" Type="http://schemas.openxmlformats.org/officeDocument/2006/relationships/printerSettings" Target="../printerSettings/printerSettings6.bin"/><Relationship Id="rId5" Type="http://schemas.openxmlformats.org/officeDocument/2006/relationships/hyperlink" Target="https://www.tractorsupply.com/tsc/search/livestock%20guardian%20dog%20houses?isIntSrch=written" TargetMode="External"/><Relationship Id="rId15" Type="http://schemas.microsoft.com/office/2017/10/relationships/threadedComment" Target="../threadedComments/threadedComment1.xml"/><Relationship Id="rId10" Type="http://schemas.openxmlformats.org/officeDocument/2006/relationships/hyperlink" Target="https://ucanr.edu/sites/default/files/2019-06/305121.pdf" TargetMode="External"/><Relationship Id="rId4" Type="http://schemas.openxmlformats.org/officeDocument/2006/relationships/hyperlink" Target="https://workingdogliabilityinsurance.com/how-much-does-wdli-cost/" TargetMode="External"/><Relationship Id="rId9" Type="http://schemas.openxmlformats.org/officeDocument/2006/relationships/hyperlink" Target="https://www.petsuppliesplus.com/categories/dog/food/premium/dry/purina-pro-plan-high-protein-digestive-health-large-breed-dry-dog-food-chicken-and-rice-formula/19678?sku=038100132529" TargetMode="External"/><Relationship Id="rId1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8" Type="http://schemas.openxmlformats.org/officeDocument/2006/relationships/hyperlink" Target="https://www.electricfence-online.co.uk/foxlights.html" TargetMode="External"/><Relationship Id="rId3" Type="http://schemas.openxmlformats.org/officeDocument/2006/relationships/hyperlink" Target="https://www.amazon.com/Motion-Sensor-Decibels-Warning-Security/dp/B07NYXPL4P?th=1" TargetMode="External"/><Relationship Id="rId7" Type="http://schemas.openxmlformats.org/officeDocument/2006/relationships/hyperlink" Target="https://www.walmart.com/ip/VIKERI-1520P-20MP-Trail-Camera-120-Wide-Angle-Motion-Sensor-0-2s-Trigger-Time/992533957?clickid=1k6Syf0fKxycTDIW-4XPSQ1SUks363VoE0se000&amp;irgwc=1&amp;sourceid=imp_1k6Syf0fKxycTDIW-4XPSQ1SUks363VoE0se000&amp;veh=aff&amp;wmlspartner=imp_2480467&amp;affiliates_ad_id=1285207&amp;campaign_id=9383&amp;sharedid=" TargetMode="External"/><Relationship Id="rId2" Type="http://schemas.openxmlformats.org/officeDocument/2006/relationships/hyperlink" Target="https://worldtechoutlet.com/products/solar-sound-alarm-motion-activated-deer-repeller?variant=47993254248732&amp;country=US&amp;currency=USD&amp;utm_medium=product_sync&amp;utm_source=Bing&amp;utm_content=sag_organic&amp;utm_campaign=sag_organic&amp;msclkid=f4b72a56b3281f4b5d274dbf07de3384" TargetMode="External"/><Relationship Id="rId1" Type="http://schemas.openxmlformats.org/officeDocument/2006/relationships/hyperlink" Target="https://www.amazon.com/Foxlights-Night-Predator-Deterrent-degrees/dp/B015DIAXB4/ref=asc_df_B015DIAXB4?tag=bingshoppinga-20&amp;linkCode=df0&amp;hvadid=80401840125110&amp;hvnetw=o&amp;hvqmt=e&amp;hvbmt=be&amp;hvdev=c&amp;hvlocint=&amp;hvlocphy=&amp;hvtargid=pla-4584001418457595&amp;th=1" TargetMode="External"/><Relationship Id="rId6" Type="http://schemas.openxmlformats.org/officeDocument/2006/relationships/hyperlink" Target="https://www.amazon.com/dp/B0D3HQ2WNJ?tag=track-ect-bing-usa-842538-20&amp;linkCode=osi&amp;th=1&amp;psc=1" TargetMode="External"/><Relationship Id="rId5" Type="http://schemas.openxmlformats.org/officeDocument/2006/relationships/hyperlink" Target="https://www.tractorsupply.com/tsc/product/spypoint-flex-m-twin-pack-2358723?utm_source=pepperjam&amp;utm_medium=affiliate&amp;cid=pepperjam-affiliate-211830&amp;affiliate_id=211830&amp;click_id=5045794826&amp;clickId=5045794826" TargetMode="External"/><Relationship Id="rId4" Type="http://schemas.openxmlformats.org/officeDocument/2006/relationships/hyperlink" Target="https://aroflit.com/products/solar-power-ultrasonic-animal-repellent-deterrent?variant=44869116592359&amp;utm_medium=cpc&amp;utm_source=bing&amp;utm_campaign=Bing%20Shopping&amp;msclkid=bbb3224add5013542f5b45a369a61ca7&amp;utm_term=4587712277508288&amp;utm_content=Ad%20group%20%231" TargetMode="External"/><Relationship Id="rId9"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AA132-B6F3-4AF4-86E4-2287F42EE3F9}">
  <sheetPr>
    <tabColor theme="9" tint="-0.249977111117893"/>
  </sheetPr>
  <dimension ref="A1"/>
  <sheetViews>
    <sheetView topLeftCell="A11" zoomScale="49" zoomScaleNormal="45" workbookViewId="0"/>
  </sheetViews>
  <sheetFormatPr defaultRowHeight="15" x14ac:dyDescent="0.2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FF66A-7E28-4557-A3E6-F4F6ADEB9396}">
  <dimension ref="A1:K47"/>
  <sheetViews>
    <sheetView workbookViewId="0">
      <selection activeCell="E17" sqref="E17"/>
    </sheetView>
  </sheetViews>
  <sheetFormatPr defaultRowHeight="15" x14ac:dyDescent="0.25"/>
  <cols>
    <col min="2" max="2" width="11" customWidth="1"/>
    <col min="3" max="3" width="14.140625" customWidth="1"/>
    <col min="4" max="4" width="18.28515625" customWidth="1"/>
    <col min="5" max="5" width="13.5703125" customWidth="1"/>
    <col min="6" max="6" width="11.85546875" customWidth="1"/>
    <col min="7" max="7" width="11.140625" customWidth="1"/>
    <col min="8" max="8" width="11.28515625" customWidth="1"/>
    <col min="9" max="9" width="12.7109375" customWidth="1"/>
    <col min="10" max="10" width="19.7109375" customWidth="1"/>
    <col min="11" max="11" width="12.28515625" customWidth="1"/>
  </cols>
  <sheetData>
    <row r="1" spans="1:11" x14ac:dyDescent="0.25">
      <c r="A1" t="s">
        <v>174</v>
      </c>
      <c r="B1" t="s">
        <v>173</v>
      </c>
      <c r="C1" t="s">
        <v>175</v>
      </c>
      <c r="D1" t="s">
        <v>275</v>
      </c>
      <c r="E1" t="s">
        <v>218</v>
      </c>
      <c r="F1" t="s">
        <v>248</v>
      </c>
      <c r="G1" t="s">
        <v>249</v>
      </c>
      <c r="H1" t="s">
        <v>250</v>
      </c>
      <c r="I1" t="s">
        <v>251</v>
      </c>
      <c r="J1" t="s">
        <v>255</v>
      </c>
      <c r="K1" t="s">
        <v>270</v>
      </c>
    </row>
    <row r="2" spans="1:11" x14ac:dyDescent="0.25">
      <c r="A2" t="s">
        <v>88</v>
      </c>
      <c r="B2">
        <v>0.03</v>
      </c>
      <c r="C2" s="125" t="s">
        <v>177</v>
      </c>
      <c r="D2" s="273">
        <v>0.05</v>
      </c>
      <c r="E2">
        <v>1</v>
      </c>
      <c r="F2">
        <v>1</v>
      </c>
      <c r="G2" s="125" t="s">
        <v>70</v>
      </c>
      <c r="H2">
        <v>0</v>
      </c>
      <c r="I2">
        <v>0</v>
      </c>
      <c r="J2">
        <v>1</v>
      </c>
      <c r="K2">
        <v>5</v>
      </c>
    </row>
    <row r="3" spans="1:11" x14ac:dyDescent="0.25">
      <c r="A3" t="s">
        <v>150</v>
      </c>
      <c r="B3">
        <v>0.04</v>
      </c>
      <c r="C3" s="125" t="s">
        <v>176</v>
      </c>
      <c r="D3" s="273">
        <v>0.1</v>
      </c>
      <c r="E3">
        <v>2</v>
      </c>
      <c r="F3">
        <v>2</v>
      </c>
      <c r="G3" s="125" t="s">
        <v>71</v>
      </c>
      <c r="H3">
        <v>1</v>
      </c>
      <c r="I3">
        <v>1</v>
      </c>
      <c r="J3">
        <v>2</v>
      </c>
      <c r="K3">
        <v>6</v>
      </c>
    </row>
    <row r="4" spans="1:11" x14ac:dyDescent="0.25">
      <c r="B4">
        <v>0.05</v>
      </c>
      <c r="C4" s="125" t="s">
        <v>178</v>
      </c>
      <c r="D4" s="273">
        <v>0.15</v>
      </c>
      <c r="E4">
        <v>3</v>
      </c>
      <c r="F4">
        <v>3</v>
      </c>
      <c r="H4">
        <v>2</v>
      </c>
      <c r="I4">
        <v>2</v>
      </c>
      <c r="J4">
        <v>3</v>
      </c>
      <c r="K4">
        <v>7</v>
      </c>
    </row>
    <row r="5" spans="1:11" x14ac:dyDescent="0.25">
      <c r="B5">
        <v>0.06</v>
      </c>
      <c r="C5" s="125" t="s">
        <v>179</v>
      </c>
      <c r="D5" s="273">
        <v>0.2</v>
      </c>
      <c r="E5">
        <v>4</v>
      </c>
      <c r="F5">
        <v>4</v>
      </c>
      <c r="H5">
        <v>3</v>
      </c>
      <c r="I5">
        <v>3</v>
      </c>
      <c r="J5">
        <v>4</v>
      </c>
      <c r="K5">
        <v>8</v>
      </c>
    </row>
    <row r="6" spans="1:11" x14ac:dyDescent="0.25">
      <c r="B6">
        <v>7.0000000000000007E-2</v>
      </c>
      <c r="D6" s="273">
        <v>0.25</v>
      </c>
      <c r="E6">
        <v>5</v>
      </c>
      <c r="F6">
        <v>5</v>
      </c>
      <c r="H6">
        <v>4</v>
      </c>
      <c r="I6">
        <v>4</v>
      </c>
      <c r="J6">
        <v>5</v>
      </c>
      <c r="K6">
        <v>9</v>
      </c>
    </row>
    <row r="7" spans="1:11" x14ac:dyDescent="0.25">
      <c r="B7">
        <v>0.08</v>
      </c>
      <c r="D7" s="273">
        <v>0.3</v>
      </c>
      <c r="E7">
        <v>6</v>
      </c>
      <c r="F7">
        <v>6</v>
      </c>
      <c r="H7">
        <v>5</v>
      </c>
      <c r="I7">
        <v>5</v>
      </c>
      <c r="K7">
        <v>10</v>
      </c>
    </row>
    <row r="8" spans="1:11" x14ac:dyDescent="0.25">
      <c r="B8">
        <v>0.09</v>
      </c>
      <c r="D8" s="273">
        <v>0.35</v>
      </c>
      <c r="E8">
        <v>7</v>
      </c>
      <c r="F8">
        <v>7</v>
      </c>
      <c r="K8">
        <v>11</v>
      </c>
    </row>
    <row r="9" spans="1:11" x14ac:dyDescent="0.25">
      <c r="B9">
        <v>0.1</v>
      </c>
      <c r="D9" s="273">
        <v>0.4</v>
      </c>
      <c r="E9">
        <v>8</v>
      </c>
      <c r="F9">
        <v>8</v>
      </c>
      <c r="K9">
        <v>12</v>
      </c>
    </row>
    <row r="10" spans="1:11" x14ac:dyDescent="0.25">
      <c r="D10" s="273">
        <v>0.45</v>
      </c>
      <c r="E10">
        <v>9</v>
      </c>
      <c r="F10">
        <v>9</v>
      </c>
      <c r="K10">
        <v>13</v>
      </c>
    </row>
    <row r="11" spans="1:11" x14ac:dyDescent="0.25">
      <c r="D11" s="273">
        <v>0.5</v>
      </c>
      <c r="E11">
        <v>10</v>
      </c>
      <c r="F11">
        <v>10</v>
      </c>
      <c r="K11">
        <v>14</v>
      </c>
    </row>
    <row r="12" spans="1:11" x14ac:dyDescent="0.25">
      <c r="D12" s="273">
        <v>0.55000000000000004</v>
      </c>
      <c r="F12">
        <v>11</v>
      </c>
      <c r="K12">
        <v>15</v>
      </c>
    </row>
    <row r="13" spans="1:11" x14ac:dyDescent="0.25">
      <c r="D13" s="273">
        <v>0.6</v>
      </c>
      <c r="F13">
        <v>12</v>
      </c>
      <c r="K13">
        <v>16</v>
      </c>
    </row>
    <row r="14" spans="1:11" x14ac:dyDescent="0.25">
      <c r="D14" s="273">
        <v>0.65</v>
      </c>
      <c r="K14">
        <v>17</v>
      </c>
    </row>
    <row r="15" spans="1:11" x14ac:dyDescent="0.25">
      <c r="D15" s="273">
        <v>0.7</v>
      </c>
      <c r="K15">
        <v>18</v>
      </c>
    </row>
    <row r="16" spans="1:11" x14ac:dyDescent="0.25">
      <c r="D16" s="273">
        <v>0.75</v>
      </c>
      <c r="K16">
        <v>19</v>
      </c>
    </row>
    <row r="17" spans="4:11" x14ac:dyDescent="0.25">
      <c r="D17" s="273">
        <v>0.8</v>
      </c>
      <c r="K17">
        <v>20</v>
      </c>
    </row>
    <row r="18" spans="4:11" x14ac:dyDescent="0.25">
      <c r="D18" s="273">
        <v>0.85</v>
      </c>
      <c r="K18">
        <v>21</v>
      </c>
    </row>
    <row r="19" spans="4:11" x14ac:dyDescent="0.25">
      <c r="D19" s="273">
        <v>0.9</v>
      </c>
      <c r="K19">
        <v>22</v>
      </c>
    </row>
    <row r="20" spans="4:11" x14ac:dyDescent="0.25">
      <c r="D20" s="273">
        <v>0.95</v>
      </c>
      <c r="K20">
        <v>23</v>
      </c>
    </row>
    <row r="21" spans="4:11" x14ac:dyDescent="0.25">
      <c r="D21" s="273">
        <v>1</v>
      </c>
      <c r="K21">
        <v>24</v>
      </c>
    </row>
    <row r="22" spans="4:11" x14ac:dyDescent="0.25">
      <c r="K22">
        <v>25</v>
      </c>
    </row>
    <row r="23" spans="4:11" x14ac:dyDescent="0.25">
      <c r="K23">
        <v>26</v>
      </c>
    </row>
    <row r="24" spans="4:11" x14ac:dyDescent="0.25">
      <c r="K24">
        <v>27</v>
      </c>
    </row>
    <row r="25" spans="4:11" x14ac:dyDescent="0.25">
      <c r="K25">
        <v>28</v>
      </c>
    </row>
    <row r="26" spans="4:11" x14ac:dyDescent="0.25">
      <c r="K26">
        <v>29</v>
      </c>
    </row>
    <row r="27" spans="4:11" x14ac:dyDescent="0.25">
      <c r="K27">
        <v>30</v>
      </c>
    </row>
    <row r="28" spans="4:11" x14ac:dyDescent="0.25">
      <c r="K28">
        <v>31</v>
      </c>
    </row>
    <row r="29" spans="4:11" x14ac:dyDescent="0.25">
      <c r="K29">
        <v>32</v>
      </c>
    </row>
    <row r="30" spans="4:11" x14ac:dyDescent="0.25">
      <c r="K30">
        <v>33</v>
      </c>
    </row>
    <row r="31" spans="4:11" x14ac:dyDescent="0.25">
      <c r="K31">
        <v>34</v>
      </c>
    </row>
    <row r="32" spans="4:11" x14ac:dyDescent="0.25">
      <c r="K32">
        <v>35</v>
      </c>
    </row>
    <row r="33" spans="11:11" x14ac:dyDescent="0.25">
      <c r="K33">
        <v>36</v>
      </c>
    </row>
    <row r="34" spans="11:11" x14ac:dyDescent="0.25">
      <c r="K34">
        <v>37</v>
      </c>
    </row>
    <row r="35" spans="11:11" x14ac:dyDescent="0.25">
      <c r="K35">
        <v>38</v>
      </c>
    </row>
    <row r="36" spans="11:11" x14ac:dyDescent="0.25">
      <c r="K36">
        <v>39</v>
      </c>
    </row>
    <row r="37" spans="11:11" x14ac:dyDescent="0.25">
      <c r="K37">
        <v>40</v>
      </c>
    </row>
    <row r="38" spans="11:11" x14ac:dyDescent="0.25">
      <c r="K38">
        <v>41</v>
      </c>
    </row>
    <row r="39" spans="11:11" x14ac:dyDescent="0.25">
      <c r="K39">
        <v>42</v>
      </c>
    </row>
    <row r="40" spans="11:11" x14ac:dyDescent="0.25">
      <c r="K40">
        <v>43</v>
      </c>
    </row>
    <row r="41" spans="11:11" x14ac:dyDescent="0.25">
      <c r="K41">
        <v>44</v>
      </c>
    </row>
    <row r="42" spans="11:11" x14ac:dyDescent="0.25">
      <c r="K42">
        <v>45</v>
      </c>
    </row>
    <row r="43" spans="11:11" x14ac:dyDescent="0.25">
      <c r="K43">
        <v>46</v>
      </c>
    </row>
    <row r="44" spans="11:11" x14ac:dyDescent="0.25">
      <c r="K44">
        <v>47</v>
      </c>
    </row>
    <row r="45" spans="11:11" x14ac:dyDescent="0.25">
      <c r="K45">
        <v>48</v>
      </c>
    </row>
    <row r="46" spans="11:11" x14ac:dyDescent="0.25">
      <c r="K46">
        <v>49</v>
      </c>
    </row>
    <row r="47" spans="11:11" x14ac:dyDescent="0.25">
      <c r="K47">
        <v>50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6A11A-F591-4794-AF6E-AFD157DB763D}">
  <sheetPr>
    <tabColor theme="4"/>
  </sheetPr>
  <dimension ref="B1:BG226"/>
  <sheetViews>
    <sheetView zoomScale="48" zoomScaleNormal="70" workbookViewId="0">
      <selection activeCell="C57" sqref="C57"/>
    </sheetView>
  </sheetViews>
  <sheetFormatPr defaultRowHeight="15" outlineLevelRow="2" outlineLevelCol="1" x14ac:dyDescent="0.25"/>
  <cols>
    <col min="2" max="2" width="12.85546875" bestFit="1" customWidth="1"/>
    <col min="3" max="3" width="9.42578125" bestFit="1" customWidth="1"/>
    <col min="8" max="8" width="9.5703125" bestFit="1" customWidth="1"/>
    <col min="9" max="11" width="9.5703125" hidden="1" customWidth="1" outlineLevel="1"/>
    <col min="12" max="12" width="9.5703125" hidden="1" customWidth="1" outlineLevel="1" collapsed="1"/>
    <col min="13" max="13" width="9.5703125" bestFit="1" customWidth="1" collapsed="1"/>
    <col min="14" max="18" width="9.5703125" bestFit="1" customWidth="1"/>
    <col min="21" max="21" width="9.5703125" bestFit="1" customWidth="1"/>
    <col min="22" max="25" width="9.5703125" hidden="1" customWidth="1" outlineLevel="1"/>
    <col min="26" max="26" width="9.5703125" bestFit="1" customWidth="1" collapsed="1"/>
    <col min="27" max="31" width="9.5703125" bestFit="1" customWidth="1"/>
    <col min="34" max="35" width="9.5703125" bestFit="1" customWidth="1"/>
    <col min="36" max="39" width="9.5703125" hidden="1" customWidth="1" outlineLevel="1"/>
    <col min="40" max="40" width="9.5703125" bestFit="1" customWidth="1" collapsed="1"/>
    <col min="41" max="45" width="9.5703125" bestFit="1" customWidth="1"/>
    <col min="47" max="47" width="8.85546875" bestFit="1" customWidth="1"/>
    <col min="48" max="51" width="9.28515625" bestFit="1" customWidth="1"/>
    <col min="52" max="52" width="11.85546875" customWidth="1"/>
    <col min="53" max="53" width="9.28515625" customWidth="1"/>
    <col min="54" max="54" width="10.5703125" customWidth="1"/>
    <col min="55" max="58" width="9.28515625" bestFit="1" customWidth="1"/>
  </cols>
  <sheetData>
    <row r="1" spans="46:59" x14ac:dyDescent="0.25">
      <c r="AT1" s="185"/>
      <c r="AU1" s="185"/>
      <c r="AV1" s="185"/>
      <c r="AW1" s="185"/>
      <c r="AX1" s="185"/>
      <c r="AY1" s="185"/>
      <c r="AZ1" s="185"/>
      <c r="BA1" s="185"/>
      <c r="BB1" s="185"/>
      <c r="BC1" s="185"/>
      <c r="BD1" s="185"/>
      <c r="BE1" s="185"/>
      <c r="BF1" s="185"/>
      <c r="BG1" s="185"/>
    </row>
    <row r="2" spans="46:59" ht="15.75" thickBot="1" x14ac:dyDescent="0.3">
      <c r="AT2" s="185"/>
      <c r="AU2" s="185"/>
      <c r="AV2" s="185"/>
      <c r="AW2" s="185"/>
      <c r="AX2" s="185"/>
      <c r="AY2" s="185"/>
      <c r="AZ2" s="185"/>
      <c r="BA2" s="185"/>
      <c r="BB2" s="185"/>
      <c r="BC2" s="185"/>
      <c r="BD2" s="185"/>
      <c r="BE2" s="185"/>
      <c r="BF2" s="185"/>
      <c r="BG2" s="185"/>
    </row>
    <row r="3" spans="46:59" ht="21" x14ac:dyDescent="0.25">
      <c r="AT3" s="296"/>
      <c r="AU3" s="336" t="s">
        <v>294</v>
      </c>
      <c r="AV3" s="337"/>
      <c r="AW3" s="337"/>
      <c r="AX3" s="337"/>
      <c r="AY3" s="337"/>
      <c r="AZ3" s="337"/>
      <c r="BA3" s="337"/>
      <c r="BB3" s="337"/>
      <c r="BC3" s="337"/>
      <c r="BD3" s="337"/>
      <c r="BE3" s="337"/>
      <c r="BF3" s="338"/>
      <c r="BG3" s="185"/>
    </row>
    <row r="4" spans="46:59" ht="21" x14ac:dyDescent="0.25">
      <c r="AT4" s="296"/>
      <c r="AU4" s="339"/>
      <c r="AV4" s="340"/>
      <c r="AW4" s="340"/>
      <c r="AX4" s="340"/>
      <c r="AY4" s="340"/>
      <c r="AZ4" s="340"/>
      <c r="BA4" s="340"/>
      <c r="BB4" s="340"/>
      <c r="BC4" s="340"/>
      <c r="BD4" s="340"/>
      <c r="BE4" s="340"/>
      <c r="BF4" s="341"/>
      <c r="BG4" s="185"/>
    </row>
    <row r="5" spans="46:59" x14ac:dyDescent="0.25">
      <c r="AT5" s="185"/>
      <c r="AU5" s="314" t="s">
        <v>282</v>
      </c>
      <c r="AV5" s="313">
        <v>0.01</v>
      </c>
      <c r="AW5" s="313">
        <v>0.1</v>
      </c>
      <c r="AX5" s="313">
        <v>0.2</v>
      </c>
      <c r="AY5" s="313">
        <v>0.3</v>
      </c>
      <c r="AZ5" s="313">
        <v>0.4</v>
      </c>
      <c r="BA5" s="313">
        <v>0.5</v>
      </c>
      <c r="BB5" s="313">
        <v>0.6</v>
      </c>
      <c r="BC5" s="313">
        <v>0.7</v>
      </c>
      <c r="BD5" s="313">
        <v>0.8</v>
      </c>
      <c r="BE5" s="313">
        <v>0.9</v>
      </c>
      <c r="BF5" s="312">
        <v>1</v>
      </c>
      <c r="BG5" s="185"/>
    </row>
    <row r="6" spans="46:59" ht="30" x14ac:dyDescent="0.25">
      <c r="AT6" s="311"/>
      <c r="AU6" s="310" t="s">
        <v>281</v>
      </c>
      <c r="AV6" s="316"/>
      <c r="AW6" s="316"/>
      <c r="AX6" s="316"/>
      <c r="AY6" s="316"/>
      <c r="AZ6" s="316"/>
      <c r="BA6" s="316"/>
      <c r="BB6" s="316"/>
      <c r="BC6" s="316"/>
      <c r="BD6" s="316"/>
      <c r="BE6" s="316"/>
      <c r="BF6" s="317"/>
      <c r="BG6" s="185"/>
    </row>
    <row r="7" spans="46:59" x14ac:dyDescent="0.25">
      <c r="AT7" s="306"/>
      <c r="AU7" s="309">
        <v>0</v>
      </c>
      <c r="AV7" s="308">
        <f>(((AV$5*$AU7)*(1*$C$21+$C$23))-($C$25-($C$25*$C$32)))</f>
        <v>-1102.0241948465582</v>
      </c>
      <c r="AW7" s="308">
        <f t="shared" ref="AW7:BF7" si="0">(((AW$5*$AU7)*(1*$C$21+$C$23))-($C$25-($C$25*$C$32)))</f>
        <v>-1102.0241948465582</v>
      </c>
      <c r="AX7" s="308">
        <f t="shared" si="0"/>
        <v>-1102.0241948465582</v>
      </c>
      <c r="AY7" s="308">
        <f t="shared" si="0"/>
        <v>-1102.0241948465582</v>
      </c>
      <c r="AZ7" s="308">
        <f t="shared" si="0"/>
        <v>-1102.0241948465582</v>
      </c>
      <c r="BA7" s="308">
        <f t="shared" si="0"/>
        <v>-1102.0241948465582</v>
      </c>
      <c r="BB7" s="308">
        <f t="shared" si="0"/>
        <v>-1102.0241948465582</v>
      </c>
      <c r="BC7" s="308">
        <f t="shared" si="0"/>
        <v>-1102.0241948465582</v>
      </c>
      <c r="BD7" s="308">
        <f t="shared" si="0"/>
        <v>-1102.0241948465582</v>
      </c>
      <c r="BE7" s="308">
        <f t="shared" si="0"/>
        <v>-1102.0241948465582</v>
      </c>
      <c r="BF7" s="307">
        <f t="shared" si="0"/>
        <v>-1102.0241948465582</v>
      </c>
      <c r="BG7" s="185"/>
    </row>
    <row r="8" spans="46:59" x14ac:dyDescent="0.25">
      <c r="AT8" s="306"/>
      <c r="AU8" s="309">
        <v>0.05</v>
      </c>
      <c r="AV8" s="308">
        <f t="shared" ref="AV8:BF27" si="1">(((AV$5*$AU8)*(1*$C$21+$C$23))-($C$25-($C$25*$C$32)))</f>
        <v>-1099.9241948465583</v>
      </c>
      <c r="AW8" s="308">
        <f t="shared" si="1"/>
        <v>-1081.0241948465582</v>
      </c>
      <c r="AX8" s="308">
        <f t="shared" si="1"/>
        <v>-1060.0241948465582</v>
      </c>
      <c r="AY8" s="308">
        <f t="shared" si="1"/>
        <v>-1039.0241948465582</v>
      </c>
      <c r="AZ8" s="308">
        <f t="shared" si="1"/>
        <v>-1018.0241948465582</v>
      </c>
      <c r="BA8" s="308">
        <f t="shared" si="1"/>
        <v>-997.0241948465582</v>
      </c>
      <c r="BB8" s="308">
        <f t="shared" si="1"/>
        <v>-976.0241948465582</v>
      </c>
      <c r="BC8" s="308">
        <f t="shared" si="1"/>
        <v>-955.0241948465582</v>
      </c>
      <c r="BD8" s="308">
        <f t="shared" si="1"/>
        <v>-934.0241948465582</v>
      </c>
      <c r="BE8" s="308">
        <f t="shared" si="1"/>
        <v>-913.0241948465582</v>
      </c>
      <c r="BF8" s="307">
        <f t="shared" si="1"/>
        <v>-892.0241948465582</v>
      </c>
      <c r="BG8" s="185"/>
    </row>
    <row r="9" spans="46:59" x14ac:dyDescent="0.25">
      <c r="AT9" s="306"/>
      <c r="AU9" s="309">
        <v>0.1</v>
      </c>
      <c r="AV9" s="308">
        <f t="shared" si="1"/>
        <v>-1097.8241948465582</v>
      </c>
      <c r="AW9" s="308">
        <f t="shared" si="1"/>
        <v>-1060.0241948465582</v>
      </c>
      <c r="AX9" s="308">
        <f t="shared" si="1"/>
        <v>-1018.0241948465582</v>
      </c>
      <c r="AY9" s="308">
        <f t="shared" si="1"/>
        <v>-976.0241948465582</v>
      </c>
      <c r="AZ9" s="308">
        <f t="shared" si="1"/>
        <v>-934.0241948465582</v>
      </c>
      <c r="BA9" s="308">
        <f t="shared" si="1"/>
        <v>-892.0241948465582</v>
      </c>
      <c r="BB9" s="308">
        <f t="shared" si="1"/>
        <v>-850.0241948465582</v>
      </c>
      <c r="BC9" s="308">
        <f t="shared" si="1"/>
        <v>-808.0241948465582</v>
      </c>
      <c r="BD9" s="308">
        <f t="shared" si="1"/>
        <v>-766.0241948465582</v>
      </c>
      <c r="BE9" s="308">
        <f t="shared" si="1"/>
        <v>-724.0241948465582</v>
      </c>
      <c r="BF9" s="307">
        <f t="shared" si="1"/>
        <v>-682.0241948465582</v>
      </c>
      <c r="BG9" s="185"/>
    </row>
    <row r="10" spans="46:59" x14ac:dyDescent="0.25">
      <c r="AT10" s="306"/>
      <c r="AU10" s="309">
        <v>0.15</v>
      </c>
      <c r="AV10" s="308">
        <f t="shared" si="1"/>
        <v>-1095.7241948465582</v>
      </c>
      <c r="AW10" s="308">
        <f t="shared" si="1"/>
        <v>-1039.0241948465582</v>
      </c>
      <c r="AX10" s="308">
        <f t="shared" si="1"/>
        <v>-976.0241948465582</v>
      </c>
      <c r="AY10" s="308">
        <f t="shared" si="1"/>
        <v>-913.0241948465582</v>
      </c>
      <c r="AZ10" s="308">
        <f t="shared" si="1"/>
        <v>-850.0241948465582</v>
      </c>
      <c r="BA10" s="308">
        <f t="shared" si="1"/>
        <v>-787.0241948465582</v>
      </c>
      <c r="BB10" s="308">
        <f t="shared" si="1"/>
        <v>-724.0241948465582</v>
      </c>
      <c r="BC10" s="308">
        <f t="shared" si="1"/>
        <v>-661.0241948465582</v>
      </c>
      <c r="BD10" s="308">
        <f t="shared" si="1"/>
        <v>-598.0241948465582</v>
      </c>
      <c r="BE10" s="308">
        <f t="shared" si="1"/>
        <v>-535.0241948465582</v>
      </c>
      <c r="BF10" s="307">
        <f t="shared" si="1"/>
        <v>-472.0241948465582</v>
      </c>
      <c r="BG10" s="185"/>
    </row>
    <row r="11" spans="46:59" x14ac:dyDescent="0.25">
      <c r="AT11" s="306"/>
      <c r="AU11" s="309">
        <v>0.2</v>
      </c>
      <c r="AV11" s="308">
        <f t="shared" si="1"/>
        <v>-1093.6241948465581</v>
      </c>
      <c r="AW11" s="308">
        <f t="shared" si="1"/>
        <v>-1018.0241948465582</v>
      </c>
      <c r="AX11" s="308">
        <f t="shared" si="1"/>
        <v>-934.0241948465582</v>
      </c>
      <c r="AY11" s="308">
        <f t="shared" si="1"/>
        <v>-850.0241948465582</v>
      </c>
      <c r="AZ11" s="308">
        <f t="shared" si="1"/>
        <v>-766.0241948465582</v>
      </c>
      <c r="BA11" s="308">
        <f t="shared" si="1"/>
        <v>-682.0241948465582</v>
      </c>
      <c r="BB11" s="308">
        <f t="shared" si="1"/>
        <v>-598.0241948465582</v>
      </c>
      <c r="BC11" s="308">
        <f t="shared" si="1"/>
        <v>-514.02419484655832</v>
      </c>
      <c r="BD11" s="308">
        <f t="shared" si="1"/>
        <v>-430.02419484655809</v>
      </c>
      <c r="BE11" s="308">
        <f t="shared" si="1"/>
        <v>-346.02419484655809</v>
      </c>
      <c r="BF11" s="307">
        <f t="shared" si="1"/>
        <v>-262.0241948465582</v>
      </c>
      <c r="BG11" s="185"/>
    </row>
    <row r="12" spans="46:59" x14ac:dyDescent="0.25">
      <c r="AT12" s="306"/>
      <c r="AU12" s="309">
        <v>0.25</v>
      </c>
      <c r="AV12" s="308">
        <f t="shared" si="1"/>
        <v>-1091.5241948465582</v>
      </c>
      <c r="AW12" s="308">
        <f t="shared" si="1"/>
        <v>-997.0241948465582</v>
      </c>
      <c r="AX12" s="308">
        <f t="shared" si="1"/>
        <v>-892.0241948465582</v>
      </c>
      <c r="AY12" s="308">
        <f t="shared" si="1"/>
        <v>-787.0241948465582</v>
      </c>
      <c r="AZ12" s="308">
        <f t="shared" si="1"/>
        <v>-682.0241948465582</v>
      </c>
      <c r="BA12" s="308">
        <f t="shared" si="1"/>
        <v>-577.0241948465582</v>
      </c>
      <c r="BB12" s="308">
        <f t="shared" si="1"/>
        <v>-472.0241948465582</v>
      </c>
      <c r="BC12" s="308">
        <f t="shared" si="1"/>
        <v>-367.0241948465582</v>
      </c>
      <c r="BD12" s="308">
        <f t="shared" si="1"/>
        <v>-262.0241948465582</v>
      </c>
      <c r="BE12" s="308">
        <f t="shared" si="1"/>
        <v>-157.0241948465582</v>
      </c>
      <c r="BF12" s="307">
        <f t="shared" si="1"/>
        <v>-52.024194846558203</v>
      </c>
      <c r="BG12" s="185"/>
    </row>
    <row r="13" spans="46:59" x14ac:dyDescent="0.25">
      <c r="AT13" s="306"/>
      <c r="AU13" s="309">
        <v>0.3</v>
      </c>
      <c r="AV13" s="308">
        <f t="shared" si="1"/>
        <v>-1089.4241948465583</v>
      </c>
      <c r="AW13" s="308">
        <f t="shared" si="1"/>
        <v>-976.0241948465582</v>
      </c>
      <c r="AX13" s="308">
        <f t="shared" si="1"/>
        <v>-850.0241948465582</v>
      </c>
      <c r="AY13" s="308">
        <f t="shared" si="1"/>
        <v>-724.0241948465582</v>
      </c>
      <c r="AZ13" s="308">
        <f t="shared" si="1"/>
        <v>-598.0241948465582</v>
      </c>
      <c r="BA13" s="308">
        <f t="shared" si="1"/>
        <v>-472.0241948465582</v>
      </c>
      <c r="BB13" s="308">
        <f t="shared" si="1"/>
        <v>-346.0241948465582</v>
      </c>
      <c r="BC13" s="308">
        <f t="shared" si="1"/>
        <v>-220.0241948465582</v>
      </c>
      <c r="BD13" s="308">
        <f t="shared" si="1"/>
        <v>-94.024194846558203</v>
      </c>
      <c r="BE13" s="308">
        <f t="shared" si="1"/>
        <v>31.975805153441797</v>
      </c>
      <c r="BF13" s="307">
        <f t="shared" si="1"/>
        <v>157.9758051534418</v>
      </c>
      <c r="BG13" s="185"/>
    </row>
    <row r="14" spans="46:59" x14ac:dyDescent="0.25">
      <c r="AT14" s="306"/>
      <c r="AU14" s="309">
        <v>0.35</v>
      </c>
      <c r="AV14" s="308">
        <f t="shared" si="1"/>
        <v>-1087.3241948465582</v>
      </c>
      <c r="AW14" s="308">
        <f t="shared" si="1"/>
        <v>-955.0241948465582</v>
      </c>
      <c r="AX14" s="308">
        <f t="shared" si="1"/>
        <v>-808.0241948465582</v>
      </c>
      <c r="AY14" s="308">
        <f t="shared" si="1"/>
        <v>-661.0241948465582</v>
      </c>
      <c r="AZ14" s="308">
        <f t="shared" si="1"/>
        <v>-514.02419484655832</v>
      </c>
      <c r="BA14" s="308">
        <f t="shared" si="1"/>
        <v>-367.0241948465582</v>
      </c>
      <c r="BB14" s="308">
        <f t="shared" si="1"/>
        <v>-220.0241948465582</v>
      </c>
      <c r="BC14" s="308">
        <f t="shared" si="1"/>
        <v>-73.02419484655843</v>
      </c>
      <c r="BD14" s="308">
        <f t="shared" si="1"/>
        <v>73.97580515344157</v>
      </c>
      <c r="BE14" s="308">
        <f t="shared" si="1"/>
        <v>220.9758051534418</v>
      </c>
      <c r="BF14" s="307">
        <f t="shared" si="1"/>
        <v>367.9758051534418</v>
      </c>
      <c r="BG14" s="185"/>
    </row>
    <row r="15" spans="46:59" x14ac:dyDescent="0.25">
      <c r="AT15" s="306"/>
      <c r="AU15" s="309">
        <v>0.4</v>
      </c>
      <c r="AV15" s="308">
        <f t="shared" si="1"/>
        <v>-1085.2241948465582</v>
      </c>
      <c r="AW15" s="308">
        <f t="shared" si="1"/>
        <v>-934.0241948465582</v>
      </c>
      <c r="AX15" s="308">
        <f t="shared" si="1"/>
        <v>-766.0241948465582</v>
      </c>
      <c r="AY15" s="308">
        <f t="shared" si="1"/>
        <v>-598.0241948465582</v>
      </c>
      <c r="AZ15" s="308">
        <f t="shared" si="1"/>
        <v>-430.02419484655809</v>
      </c>
      <c r="BA15" s="308">
        <f t="shared" si="1"/>
        <v>-262.0241948465582</v>
      </c>
      <c r="BB15" s="308">
        <f t="shared" si="1"/>
        <v>-94.024194846558203</v>
      </c>
      <c r="BC15" s="308">
        <f t="shared" si="1"/>
        <v>73.97580515344157</v>
      </c>
      <c r="BD15" s="308">
        <f t="shared" si="1"/>
        <v>241.97580515344202</v>
      </c>
      <c r="BE15" s="308">
        <f t="shared" si="1"/>
        <v>409.97580515344202</v>
      </c>
      <c r="BF15" s="307">
        <f t="shared" si="1"/>
        <v>577.9758051534418</v>
      </c>
      <c r="BG15" s="185"/>
    </row>
    <row r="16" spans="46:59" x14ac:dyDescent="0.25">
      <c r="AT16" s="306"/>
      <c r="AU16" s="309">
        <v>0.45</v>
      </c>
      <c r="AV16" s="308">
        <f t="shared" si="1"/>
        <v>-1083.1241948465581</v>
      </c>
      <c r="AW16" s="308">
        <f t="shared" si="1"/>
        <v>-913.0241948465582</v>
      </c>
      <c r="AX16" s="308">
        <f t="shared" si="1"/>
        <v>-724.0241948465582</v>
      </c>
      <c r="AY16" s="308">
        <f t="shared" si="1"/>
        <v>-535.0241948465582</v>
      </c>
      <c r="AZ16" s="308">
        <f t="shared" si="1"/>
        <v>-346.02419484655809</v>
      </c>
      <c r="BA16" s="308">
        <f t="shared" si="1"/>
        <v>-157.0241948465582</v>
      </c>
      <c r="BB16" s="308">
        <f t="shared" si="1"/>
        <v>31.975805153441797</v>
      </c>
      <c r="BC16" s="308">
        <f t="shared" si="1"/>
        <v>220.9758051534418</v>
      </c>
      <c r="BD16" s="308">
        <f t="shared" si="1"/>
        <v>409.97580515344202</v>
      </c>
      <c r="BE16" s="308">
        <f t="shared" si="1"/>
        <v>598.9758051534418</v>
      </c>
      <c r="BF16" s="307">
        <f t="shared" si="1"/>
        <v>787.9758051534418</v>
      </c>
      <c r="BG16" s="185"/>
    </row>
    <row r="17" spans="2:59" ht="15.75" thickBot="1" x14ac:dyDescent="0.3">
      <c r="AT17" s="306"/>
      <c r="AU17" s="309">
        <v>0.5</v>
      </c>
      <c r="AV17" s="308">
        <f t="shared" si="1"/>
        <v>-1081.0241948465582</v>
      </c>
      <c r="AW17" s="308">
        <f t="shared" si="1"/>
        <v>-892.0241948465582</v>
      </c>
      <c r="AX17" s="308">
        <f t="shared" si="1"/>
        <v>-682.0241948465582</v>
      </c>
      <c r="AY17" s="308">
        <f t="shared" si="1"/>
        <v>-472.0241948465582</v>
      </c>
      <c r="AZ17" s="308">
        <f t="shared" si="1"/>
        <v>-262.0241948465582</v>
      </c>
      <c r="BA17" s="308">
        <f t="shared" si="1"/>
        <v>-52.024194846558203</v>
      </c>
      <c r="BB17" s="308">
        <f t="shared" si="1"/>
        <v>157.9758051534418</v>
      </c>
      <c r="BC17" s="308">
        <f t="shared" si="1"/>
        <v>367.9758051534418</v>
      </c>
      <c r="BD17" s="308">
        <f t="shared" si="1"/>
        <v>577.9758051534418</v>
      </c>
      <c r="BE17" s="308">
        <f t="shared" si="1"/>
        <v>787.9758051534418</v>
      </c>
      <c r="BF17" s="307">
        <f t="shared" si="1"/>
        <v>997.9758051534418</v>
      </c>
      <c r="BG17" s="185"/>
    </row>
    <row r="18" spans="2:59" x14ac:dyDescent="0.25">
      <c r="B18" s="332" t="s">
        <v>306</v>
      </c>
      <c r="C18" s="333"/>
      <c r="AT18" s="306"/>
      <c r="AU18" s="309">
        <v>0.55000000000000004</v>
      </c>
      <c r="AV18" s="308">
        <f t="shared" si="1"/>
        <v>-1078.9241948465583</v>
      </c>
      <c r="AW18" s="308">
        <f t="shared" si="1"/>
        <v>-871.0241948465582</v>
      </c>
      <c r="AX18" s="308">
        <f t="shared" si="1"/>
        <v>-640.0241948465582</v>
      </c>
      <c r="AY18" s="308">
        <f t="shared" si="1"/>
        <v>-409.0241948465582</v>
      </c>
      <c r="AZ18" s="308">
        <f t="shared" si="1"/>
        <v>-178.02419484655809</v>
      </c>
      <c r="BA18" s="308">
        <f t="shared" si="1"/>
        <v>52.975805153441797</v>
      </c>
      <c r="BB18" s="308">
        <f t="shared" si="1"/>
        <v>283.9758051534418</v>
      </c>
      <c r="BC18" s="308">
        <f t="shared" si="1"/>
        <v>514.9758051534418</v>
      </c>
      <c r="BD18" s="308">
        <f t="shared" si="1"/>
        <v>745.97580515344202</v>
      </c>
      <c r="BE18" s="308">
        <f t="shared" si="1"/>
        <v>976.9758051534418</v>
      </c>
      <c r="BF18" s="307">
        <f t="shared" si="1"/>
        <v>1207.9758051534418</v>
      </c>
      <c r="BG18" s="185"/>
    </row>
    <row r="19" spans="2:59" x14ac:dyDescent="0.25">
      <c r="B19" s="334"/>
      <c r="C19" s="335"/>
      <c r="AT19" s="306"/>
      <c r="AU19" s="309">
        <v>0.6</v>
      </c>
      <c r="AV19" s="308">
        <f t="shared" si="1"/>
        <v>-1076.8241948465582</v>
      </c>
      <c r="AW19" s="308">
        <f t="shared" si="1"/>
        <v>-850.0241948465582</v>
      </c>
      <c r="AX19" s="308">
        <f t="shared" si="1"/>
        <v>-598.0241948465582</v>
      </c>
      <c r="AY19" s="308">
        <f t="shared" si="1"/>
        <v>-346.0241948465582</v>
      </c>
      <c r="AZ19" s="308">
        <f t="shared" si="1"/>
        <v>-94.024194846558203</v>
      </c>
      <c r="BA19" s="308">
        <f t="shared" si="1"/>
        <v>157.9758051534418</v>
      </c>
      <c r="BB19" s="308">
        <f t="shared" si="1"/>
        <v>409.9758051534418</v>
      </c>
      <c r="BC19" s="308">
        <f t="shared" si="1"/>
        <v>661.9758051534418</v>
      </c>
      <c r="BD19" s="308">
        <f t="shared" si="1"/>
        <v>913.9758051534418</v>
      </c>
      <c r="BE19" s="308">
        <f t="shared" si="1"/>
        <v>1165.9758051534418</v>
      </c>
      <c r="BF19" s="307">
        <f t="shared" si="1"/>
        <v>1417.9758051534418</v>
      </c>
      <c r="BG19" s="185"/>
    </row>
    <row r="20" spans="2:59" x14ac:dyDescent="0.25">
      <c r="B20" s="33"/>
      <c r="C20" s="246"/>
      <c r="AT20" s="306"/>
      <c r="AU20" s="309">
        <v>0.65</v>
      </c>
      <c r="AV20" s="308">
        <f t="shared" si="1"/>
        <v>-1074.7241948465582</v>
      </c>
      <c r="AW20" s="308">
        <f t="shared" si="1"/>
        <v>-829.0241948465582</v>
      </c>
      <c r="AX20" s="308">
        <f t="shared" si="1"/>
        <v>-556.0241948465582</v>
      </c>
      <c r="AY20" s="308">
        <f t="shared" si="1"/>
        <v>-283.0241948465582</v>
      </c>
      <c r="AZ20" s="308">
        <f t="shared" si="1"/>
        <v>-10.024194846558203</v>
      </c>
      <c r="BA20" s="308">
        <f t="shared" si="1"/>
        <v>262.9758051534418</v>
      </c>
      <c r="BB20" s="308">
        <f t="shared" si="1"/>
        <v>535.9758051534418</v>
      </c>
      <c r="BC20" s="308">
        <f t="shared" si="1"/>
        <v>808.97580515344157</v>
      </c>
      <c r="BD20" s="308">
        <f t="shared" si="1"/>
        <v>1081.9758051534418</v>
      </c>
      <c r="BE20" s="308">
        <f t="shared" si="1"/>
        <v>1354.9758051534423</v>
      </c>
      <c r="BF20" s="307">
        <f t="shared" si="1"/>
        <v>1627.9758051534418</v>
      </c>
      <c r="BG20" s="185"/>
    </row>
    <row r="21" spans="2:59" x14ac:dyDescent="0.25">
      <c r="B21" s="241" t="s">
        <v>297</v>
      </c>
      <c r="C21" s="246">
        <v>4000</v>
      </c>
      <c r="AT21" s="306"/>
      <c r="AU21" s="309">
        <v>0.7</v>
      </c>
      <c r="AV21" s="308">
        <f t="shared" si="1"/>
        <v>-1072.6241948465581</v>
      </c>
      <c r="AW21" s="308">
        <f t="shared" si="1"/>
        <v>-808.0241948465582</v>
      </c>
      <c r="AX21" s="308">
        <f t="shared" si="1"/>
        <v>-514.02419484655832</v>
      </c>
      <c r="AY21" s="308">
        <f t="shared" si="1"/>
        <v>-220.0241948465582</v>
      </c>
      <c r="AZ21" s="308">
        <f t="shared" si="1"/>
        <v>73.97580515344157</v>
      </c>
      <c r="BA21" s="308">
        <f t="shared" si="1"/>
        <v>367.9758051534418</v>
      </c>
      <c r="BB21" s="308">
        <f t="shared" si="1"/>
        <v>661.9758051534418</v>
      </c>
      <c r="BC21" s="308">
        <f t="shared" si="1"/>
        <v>955.97580515344134</v>
      </c>
      <c r="BD21" s="308">
        <f t="shared" si="1"/>
        <v>1249.9758051534413</v>
      </c>
      <c r="BE21" s="308">
        <f t="shared" si="1"/>
        <v>1543.9758051534418</v>
      </c>
      <c r="BF21" s="307">
        <f t="shared" si="1"/>
        <v>1837.9758051534418</v>
      </c>
      <c r="BG21" s="185"/>
    </row>
    <row r="22" spans="2:59" x14ac:dyDescent="0.25">
      <c r="B22" s="241" t="s">
        <v>298</v>
      </c>
      <c r="C22" s="246">
        <v>600</v>
      </c>
      <c r="AT22" s="306"/>
      <c r="AU22" s="309">
        <v>0.75</v>
      </c>
      <c r="AV22" s="308">
        <f t="shared" si="1"/>
        <v>-1070.5241948465582</v>
      </c>
      <c r="AW22" s="308">
        <f t="shared" si="1"/>
        <v>-787.0241948465582</v>
      </c>
      <c r="AX22" s="308">
        <f t="shared" si="1"/>
        <v>-472.02419484655809</v>
      </c>
      <c r="AY22" s="308">
        <f t="shared" si="1"/>
        <v>-157.02419484655832</v>
      </c>
      <c r="AZ22" s="308">
        <f t="shared" si="1"/>
        <v>157.97580515344202</v>
      </c>
      <c r="BA22" s="308">
        <f t="shared" si="1"/>
        <v>472.9758051534418</v>
      </c>
      <c r="BB22" s="308">
        <f t="shared" si="1"/>
        <v>787.97580515344157</v>
      </c>
      <c r="BC22" s="308">
        <f t="shared" si="1"/>
        <v>1102.9758051534413</v>
      </c>
      <c r="BD22" s="308">
        <f t="shared" si="1"/>
        <v>1417.9758051534423</v>
      </c>
      <c r="BE22" s="308">
        <f t="shared" si="1"/>
        <v>1732.9758051534418</v>
      </c>
      <c r="BF22" s="307">
        <f t="shared" si="1"/>
        <v>2047.9758051534418</v>
      </c>
      <c r="BG22" s="185"/>
    </row>
    <row r="23" spans="2:59" x14ac:dyDescent="0.25">
      <c r="B23" s="241" t="s">
        <v>299</v>
      </c>
      <c r="C23" s="246">
        <v>200</v>
      </c>
      <c r="AT23" s="306"/>
      <c r="AU23" s="309">
        <v>0.8</v>
      </c>
      <c r="AV23" s="308">
        <f t="shared" si="1"/>
        <v>-1068.4241948465583</v>
      </c>
      <c r="AW23" s="308">
        <f t="shared" si="1"/>
        <v>-766.0241948465582</v>
      </c>
      <c r="AX23" s="308">
        <f t="shared" si="1"/>
        <v>-430.02419484655809</v>
      </c>
      <c r="AY23" s="308">
        <f t="shared" si="1"/>
        <v>-94.024194846558203</v>
      </c>
      <c r="AZ23" s="308">
        <f t="shared" si="1"/>
        <v>241.97580515344202</v>
      </c>
      <c r="BA23" s="308">
        <f t="shared" si="1"/>
        <v>577.9758051534418</v>
      </c>
      <c r="BB23" s="308">
        <f t="shared" si="1"/>
        <v>913.9758051534418</v>
      </c>
      <c r="BC23" s="308">
        <f t="shared" si="1"/>
        <v>1249.9758051534413</v>
      </c>
      <c r="BD23" s="308">
        <f t="shared" si="1"/>
        <v>1585.9758051534423</v>
      </c>
      <c r="BE23" s="308">
        <f t="shared" si="1"/>
        <v>1921.9758051534423</v>
      </c>
      <c r="BF23" s="307">
        <f t="shared" si="1"/>
        <v>2257.9758051534418</v>
      </c>
      <c r="BG23" s="185"/>
    </row>
    <row r="24" spans="2:59" x14ac:dyDescent="0.25">
      <c r="B24" s="241"/>
      <c r="C24" s="246"/>
      <c r="AT24" s="306"/>
      <c r="AU24" s="309">
        <v>0.85</v>
      </c>
      <c r="AV24" s="308">
        <f t="shared" si="1"/>
        <v>-1066.3241948465582</v>
      </c>
      <c r="AW24" s="308">
        <f t="shared" si="1"/>
        <v>-745.0241948465582</v>
      </c>
      <c r="AX24" s="308">
        <f t="shared" si="1"/>
        <v>-388.0241948465582</v>
      </c>
      <c r="AY24" s="308">
        <f t="shared" si="1"/>
        <v>-31.024194846558203</v>
      </c>
      <c r="AZ24" s="308">
        <f t="shared" si="1"/>
        <v>325.9758051534418</v>
      </c>
      <c r="BA24" s="308">
        <f t="shared" si="1"/>
        <v>682.9758051534418</v>
      </c>
      <c r="BB24" s="308">
        <f t="shared" si="1"/>
        <v>1039.9758051534418</v>
      </c>
      <c r="BC24" s="308">
        <f t="shared" si="1"/>
        <v>1396.9758051534418</v>
      </c>
      <c r="BD24" s="308">
        <f t="shared" si="1"/>
        <v>1753.9758051534418</v>
      </c>
      <c r="BE24" s="308">
        <f t="shared" si="1"/>
        <v>2110.9758051534418</v>
      </c>
      <c r="BF24" s="307">
        <f t="shared" si="1"/>
        <v>2467.9758051534418</v>
      </c>
      <c r="BG24" s="185"/>
    </row>
    <row r="25" spans="2:59" x14ac:dyDescent="0.25">
      <c r="B25" s="241" t="s">
        <v>300</v>
      </c>
      <c r="C25" s="152">
        <f>'Turbo Fladry'!H34</f>
        <v>2204.0483896931164</v>
      </c>
      <c r="AT25" s="306"/>
      <c r="AU25" s="309">
        <v>0.9</v>
      </c>
      <c r="AV25" s="308">
        <f t="shared" si="1"/>
        <v>-1064.2241948465582</v>
      </c>
      <c r="AW25" s="308">
        <f t="shared" si="1"/>
        <v>-724.0241948465582</v>
      </c>
      <c r="AX25" s="308">
        <f t="shared" si="1"/>
        <v>-346.02419484655809</v>
      </c>
      <c r="AY25" s="308">
        <f t="shared" si="1"/>
        <v>31.975805153441797</v>
      </c>
      <c r="AZ25" s="308">
        <f t="shared" si="1"/>
        <v>409.97580515344202</v>
      </c>
      <c r="BA25" s="308">
        <f t="shared" si="1"/>
        <v>787.9758051534418</v>
      </c>
      <c r="BB25" s="308">
        <f t="shared" si="1"/>
        <v>1165.9758051534418</v>
      </c>
      <c r="BC25" s="308">
        <f t="shared" si="1"/>
        <v>1543.9758051534418</v>
      </c>
      <c r="BD25" s="308">
        <f t="shared" si="1"/>
        <v>1921.9758051534423</v>
      </c>
      <c r="BE25" s="308">
        <f t="shared" si="1"/>
        <v>2299.9758051534418</v>
      </c>
      <c r="BF25" s="307">
        <f t="shared" si="1"/>
        <v>2677.9758051534418</v>
      </c>
      <c r="BG25" s="185"/>
    </row>
    <row r="26" spans="2:59" x14ac:dyDescent="0.25">
      <c r="B26" s="241" t="s">
        <v>301</v>
      </c>
      <c r="C26" s="152">
        <f>'Night Penning'!H39</f>
        <v>619.9320840193709</v>
      </c>
      <c r="AT26" s="306"/>
      <c r="AU26" s="309">
        <v>0.95</v>
      </c>
      <c r="AV26" s="308">
        <f t="shared" si="1"/>
        <v>-1062.1241948465581</v>
      </c>
      <c r="AW26" s="308">
        <f t="shared" si="1"/>
        <v>-703.0241948465582</v>
      </c>
      <c r="AX26" s="308">
        <f t="shared" si="1"/>
        <v>-304.0241948465582</v>
      </c>
      <c r="AY26" s="308">
        <f t="shared" si="1"/>
        <v>94.975805153441797</v>
      </c>
      <c r="AZ26" s="308">
        <f t="shared" si="1"/>
        <v>493.9758051534418</v>
      </c>
      <c r="BA26" s="308">
        <f t="shared" si="1"/>
        <v>892.9758051534418</v>
      </c>
      <c r="BB26" s="308">
        <f t="shared" si="1"/>
        <v>1291.9758051534418</v>
      </c>
      <c r="BC26" s="308">
        <f t="shared" si="1"/>
        <v>1690.9758051534413</v>
      </c>
      <c r="BD26" s="308">
        <f t="shared" si="1"/>
        <v>2089.9758051534418</v>
      </c>
      <c r="BE26" s="308">
        <f t="shared" si="1"/>
        <v>2488.9758051534418</v>
      </c>
      <c r="BF26" s="307">
        <f t="shared" si="1"/>
        <v>2887.9758051534418</v>
      </c>
      <c r="BG26" s="185"/>
    </row>
    <row r="27" spans="2:59" ht="15.75" thickBot="1" x14ac:dyDescent="0.3">
      <c r="B27" s="241" t="s">
        <v>302</v>
      </c>
      <c r="C27" s="329">
        <f>'Range Riding'!H36</f>
        <v>5892.3199055253717</v>
      </c>
      <c r="AT27" s="306"/>
      <c r="AU27" s="305">
        <v>1</v>
      </c>
      <c r="AV27" s="304">
        <f t="shared" si="1"/>
        <v>-1060.0241948465582</v>
      </c>
      <c r="AW27" s="304">
        <f t="shared" si="1"/>
        <v>-682.0241948465582</v>
      </c>
      <c r="AX27" s="304">
        <f t="shared" si="1"/>
        <v>-262.0241948465582</v>
      </c>
      <c r="AY27" s="304">
        <f t="shared" si="1"/>
        <v>157.9758051534418</v>
      </c>
      <c r="AZ27" s="304">
        <f t="shared" si="1"/>
        <v>577.9758051534418</v>
      </c>
      <c r="BA27" s="304">
        <f t="shared" si="1"/>
        <v>997.9758051534418</v>
      </c>
      <c r="BB27" s="304">
        <f t="shared" si="1"/>
        <v>1417.9758051534418</v>
      </c>
      <c r="BC27" s="304">
        <f t="shared" si="1"/>
        <v>1837.9758051534418</v>
      </c>
      <c r="BD27" s="304">
        <f t="shared" si="1"/>
        <v>2257.9758051534418</v>
      </c>
      <c r="BE27" s="304">
        <f t="shared" si="1"/>
        <v>2677.9758051534418</v>
      </c>
      <c r="BF27" s="303">
        <f t="shared" si="1"/>
        <v>3097.9758051534418</v>
      </c>
      <c r="BG27" s="185"/>
    </row>
    <row r="28" spans="2:59" ht="16.5" thickBot="1" x14ac:dyDescent="0.3">
      <c r="B28" s="241" t="s">
        <v>303</v>
      </c>
      <c r="C28" s="152">
        <f>'Carcass Composting'!H36</f>
        <v>280.64075720782768</v>
      </c>
      <c r="AT28" s="185"/>
      <c r="AU28" s="185"/>
      <c r="AV28" s="185"/>
      <c r="AW28" s="185"/>
      <c r="AX28" s="185"/>
      <c r="AY28" s="185"/>
      <c r="AZ28" s="185"/>
      <c r="BA28" s="185"/>
      <c r="BB28" s="185"/>
      <c r="BC28" s="342" t="s">
        <v>293</v>
      </c>
      <c r="BD28" s="343"/>
      <c r="BE28" s="343"/>
      <c r="BF28" s="186"/>
      <c r="BG28" s="185"/>
    </row>
    <row r="29" spans="2:59" x14ac:dyDescent="0.25">
      <c r="B29" s="241" t="s">
        <v>304</v>
      </c>
      <c r="C29" s="152">
        <f>'Gaurdian Dogs'!H22</f>
        <v>2464.180038344291</v>
      </c>
      <c r="AT29" s="185"/>
      <c r="AU29" s="185"/>
      <c r="AV29" s="185"/>
      <c r="AW29" s="185"/>
      <c r="AX29" s="185"/>
      <c r="AY29" s="185"/>
      <c r="AZ29" s="185"/>
      <c r="BA29" s="185"/>
      <c r="BB29" s="185"/>
      <c r="BC29" s="302"/>
      <c r="BD29" s="301" t="s">
        <v>292</v>
      </c>
      <c r="BE29" s="301"/>
      <c r="BF29" s="300"/>
      <c r="BG29" s="185"/>
    </row>
    <row r="30" spans="2:59" ht="21" x14ac:dyDescent="0.25">
      <c r="B30" s="241"/>
      <c r="C30" s="246"/>
      <c r="AT30" s="185"/>
      <c r="AU30" s="185"/>
      <c r="AV30" s="185"/>
      <c r="AW30" s="185"/>
      <c r="AX30" s="185"/>
      <c r="AY30" s="185"/>
      <c r="AZ30" s="185"/>
      <c r="BA30" s="185"/>
      <c r="BB30" s="185"/>
      <c r="BC30" s="299"/>
      <c r="BD30" s="297" t="s">
        <v>291</v>
      </c>
      <c r="BE30" s="185"/>
      <c r="BF30" s="186"/>
      <c r="BG30" s="185"/>
    </row>
    <row r="31" spans="2:59" ht="21" x14ac:dyDescent="0.25">
      <c r="B31" s="241" t="s">
        <v>296</v>
      </c>
      <c r="C31" s="321">
        <v>0</v>
      </c>
      <c r="AT31" s="296"/>
      <c r="AU31" s="296"/>
      <c r="AV31" s="296"/>
      <c r="AW31" s="296"/>
      <c r="AX31" s="296"/>
      <c r="AY31" s="296"/>
      <c r="AZ31" s="185"/>
      <c r="BA31" s="185"/>
      <c r="BB31" s="296"/>
      <c r="BC31" s="298"/>
      <c r="BD31" s="297" t="s">
        <v>289</v>
      </c>
      <c r="BE31" s="186"/>
      <c r="BF31" s="186"/>
      <c r="BG31" s="185"/>
    </row>
    <row r="32" spans="2:59" ht="21.75" thickBot="1" x14ac:dyDescent="0.3">
      <c r="B32" s="241" t="s">
        <v>296</v>
      </c>
      <c r="C32" s="321">
        <v>0.5</v>
      </c>
      <c r="AT32" s="296"/>
      <c r="AU32" s="296"/>
      <c r="AV32" s="296"/>
      <c r="AW32" s="296"/>
      <c r="AX32" s="296"/>
      <c r="AY32" s="296"/>
      <c r="AZ32" s="185"/>
      <c r="BA32" s="185"/>
      <c r="BB32" s="296"/>
      <c r="BC32" s="295"/>
      <c r="BD32" s="294" t="s">
        <v>288</v>
      </c>
      <c r="BE32" s="213"/>
      <c r="BF32" s="213"/>
      <c r="BG32" s="185"/>
    </row>
    <row r="33" spans="2:59" ht="15.75" thickBot="1" x14ac:dyDescent="0.3">
      <c r="B33" s="247" t="s">
        <v>305</v>
      </c>
      <c r="C33" s="322">
        <v>0.25</v>
      </c>
      <c r="AT33" s="185"/>
      <c r="AU33" s="293"/>
      <c r="AV33" s="293"/>
      <c r="AW33" s="293"/>
      <c r="AX33" s="293"/>
      <c r="AY33" s="293"/>
      <c r="AZ33" s="185"/>
      <c r="BA33" s="185"/>
      <c r="BB33" s="293"/>
      <c r="BC33" s="293"/>
      <c r="BD33" s="293"/>
      <c r="BE33" s="293"/>
      <c r="BF33" s="185"/>
      <c r="BG33" s="185"/>
    </row>
    <row r="34" spans="2:59" ht="14.45" customHeight="1" x14ac:dyDescent="0.25">
      <c r="G34" s="340" t="s">
        <v>295</v>
      </c>
      <c r="H34" s="340"/>
      <c r="I34" s="340"/>
      <c r="J34" s="340"/>
      <c r="K34" s="340"/>
      <c r="L34" s="340"/>
      <c r="M34" s="340"/>
      <c r="N34" s="340"/>
      <c r="O34" s="340"/>
      <c r="P34" s="340"/>
      <c r="Q34" s="340"/>
      <c r="R34" s="340"/>
      <c r="T34" s="340" t="str">
        <f>CONCATENATE("Turbo Fladry", TEXT($C$32," (0%")," Subsidy)")</f>
        <v>Turbo Fladry (50% Subsidy)</v>
      </c>
      <c r="U34" s="340"/>
      <c r="V34" s="340"/>
      <c r="W34" s="340"/>
      <c r="X34" s="340"/>
      <c r="Y34" s="340"/>
      <c r="Z34" s="340"/>
      <c r="AA34" s="340"/>
      <c r="AB34" s="340"/>
      <c r="AC34" s="340"/>
      <c r="AD34" s="340"/>
      <c r="AE34" s="340"/>
      <c r="AG34" s="340" t="str">
        <f>CONCATENATE("Turbo Fladry", TEXT($C$33," (0%")," Livestock Compensation)")</f>
        <v>Turbo Fladry (25% Livestock Compensation)</v>
      </c>
      <c r="AH34" s="340"/>
      <c r="AI34" s="340"/>
      <c r="AJ34" s="340"/>
      <c r="AK34" s="340"/>
      <c r="AL34" s="340"/>
      <c r="AM34" s="340"/>
      <c r="AN34" s="340"/>
      <c r="AO34" s="340"/>
      <c r="AP34" s="340"/>
      <c r="AQ34" s="340"/>
      <c r="AR34" s="340"/>
    </row>
    <row r="35" spans="2:59" ht="14.65" customHeight="1" thickBot="1" x14ac:dyDescent="0.3">
      <c r="G35" s="344"/>
      <c r="H35" s="344"/>
      <c r="I35" s="344"/>
      <c r="J35" s="344"/>
      <c r="K35" s="344"/>
      <c r="L35" s="344"/>
      <c r="M35" s="344"/>
      <c r="N35" s="344"/>
      <c r="O35" s="344"/>
      <c r="P35" s="344"/>
      <c r="Q35" s="344"/>
      <c r="R35" s="344"/>
      <c r="T35" s="344"/>
      <c r="U35" s="344"/>
      <c r="V35" s="344"/>
      <c r="W35" s="344"/>
      <c r="X35" s="344"/>
      <c r="Y35" s="344"/>
      <c r="Z35" s="344"/>
      <c r="AA35" s="344"/>
      <c r="AB35" s="344"/>
      <c r="AC35" s="344"/>
      <c r="AD35" s="344"/>
      <c r="AE35" s="344"/>
      <c r="AG35" s="344"/>
      <c r="AH35" s="344"/>
      <c r="AI35" s="344"/>
      <c r="AJ35" s="344"/>
      <c r="AK35" s="344"/>
      <c r="AL35" s="344"/>
      <c r="AM35" s="344"/>
      <c r="AN35" s="344"/>
      <c r="AO35" s="344"/>
      <c r="AP35" s="344"/>
      <c r="AQ35" s="344"/>
      <c r="AR35" s="344"/>
    </row>
    <row r="36" spans="2:59" ht="15.75" thickBot="1" x14ac:dyDescent="0.3">
      <c r="G36" s="292" t="s">
        <v>282</v>
      </c>
      <c r="H36" s="291">
        <v>0.01</v>
      </c>
      <c r="I36" s="291">
        <v>0.1</v>
      </c>
      <c r="J36" s="291">
        <v>0.2</v>
      </c>
      <c r="K36" s="291">
        <v>0.3</v>
      </c>
      <c r="L36" s="291">
        <v>0.4</v>
      </c>
      <c r="M36" s="291">
        <v>0.5</v>
      </c>
      <c r="N36" s="291">
        <v>0.6</v>
      </c>
      <c r="O36" s="291">
        <v>0.7</v>
      </c>
      <c r="P36" s="291">
        <v>0.8</v>
      </c>
      <c r="Q36" s="291">
        <v>0.9</v>
      </c>
      <c r="R36" s="290">
        <v>1</v>
      </c>
      <c r="T36" s="292" t="s">
        <v>282</v>
      </c>
      <c r="U36" s="291">
        <v>0.01</v>
      </c>
      <c r="V36" s="291">
        <v>0.1</v>
      </c>
      <c r="W36" s="291">
        <v>0.2</v>
      </c>
      <c r="X36" s="291">
        <v>0.3</v>
      </c>
      <c r="Y36" s="291">
        <v>0.4</v>
      </c>
      <c r="Z36" s="291">
        <v>0.5</v>
      </c>
      <c r="AA36" s="291">
        <v>0.6</v>
      </c>
      <c r="AB36" s="291">
        <v>0.7</v>
      </c>
      <c r="AC36" s="291">
        <v>0.8</v>
      </c>
      <c r="AD36" s="291">
        <v>0.9</v>
      </c>
      <c r="AE36" s="290">
        <v>1</v>
      </c>
      <c r="AG36" s="292" t="s">
        <v>282</v>
      </c>
      <c r="AH36" s="291">
        <v>0.01</v>
      </c>
      <c r="AI36" s="291">
        <v>0.1</v>
      </c>
      <c r="AJ36" s="291">
        <v>0.2</v>
      </c>
      <c r="AK36" s="291">
        <v>0.3</v>
      </c>
      <c r="AL36" s="291">
        <v>0.4</v>
      </c>
      <c r="AM36" s="291">
        <v>0.5</v>
      </c>
      <c r="AN36" s="291">
        <v>0.6</v>
      </c>
      <c r="AO36" s="291">
        <v>0.7</v>
      </c>
      <c r="AP36" s="291">
        <v>0.8</v>
      </c>
      <c r="AQ36" s="291">
        <v>0.9</v>
      </c>
      <c r="AR36" s="290">
        <v>1</v>
      </c>
    </row>
    <row r="37" spans="2:59" ht="30" x14ac:dyDescent="0.25">
      <c r="G37" s="289" t="s">
        <v>281</v>
      </c>
      <c r="T37" s="289" t="s">
        <v>281</v>
      </c>
      <c r="AG37" s="289" t="s">
        <v>281</v>
      </c>
    </row>
    <row r="38" spans="2:59" x14ac:dyDescent="0.25">
      <c r="G38" s="288">
        <v>0</v>
      </c>
      <c r="H38" s="286">
        <f t="shared" ref="H38:R47" si="2">(((H$36*$G38)*($C$21+$C$23))-($C$25-($C$25*$C$31)))</f>
        <v>-2204.0483896931164</v>
      </c>
      <c r="I38" s="286">
        <f t="shared" si="2"/>
        <v>-2204.0483896931164</v>
      </c>
      <c r="J38" s="286">
        <f t="shared" si="2"/>
        <v>-2204.0483896931164</v>
      </c>
      <c r="K38" s="286">
        <f t="shared" si="2"/>
        <v>-2204.0483896931164</v>
      </c>
      <c r="L38" s="286">
        <f t="shared" si="2"/>
        <v>-2204.0483896931164</v>
      </c>
      <c r="M38" s="286">
        <f t="shared" si="2"/>
        <v>-2204.0483896931164</v>
      </c>
      <c r="N38" s="286">
        <f t="shared" si="2"/>
        <v>-2204.0483896931164</v>
      </c>
      <c r="O38" s="286">
        <f t="shared" si="2"/>
        <v>-2204.0483896931164</v>
      </c>
      <c r="P38" s="286">
        <f t="shared" si="2"/>
        <v>-2204.0483896931164</v>
      </c>
      <c r="Q38" s="286">
        <f t="shared" si="2"/>
        <v>-2204.0483896931164</v>
      </c>
      <c r="R38" s="286">
        <f t="shared" si="2"/>
        <v>-2204.0483896931164</v>
      </c>
      <c r="T38" s="288">
        <v>0</v>
      </c>
      <c r="U38" s="286">
        <f t="shared" ref="U38:AE47" si="3">(((U$36*$T38)*($C$21+$C$23))-($C$25-($C$25*$C$32)))</f>
        <v>-1102.0241948465582</v>
      </c>
      <c r="V38" s="286">
        <f t="shared" si="3"/>
        <v>-1102.0241948465582</v>
      </c>
      <c r="W38" s="286">
        <f t="shared" si="3"/>
        <v>-1102.0241948465582</v>
      </c>
      <c r="X38" s="286">
        <f t="shared" si="3"/>
        <v>-1102.0241948465582</v>
      </c>
      <c r="Y38" s="286">
        <f t="shared" si="3"/>
        <v>-1102.0241948465582</v>
      </c>
      <c r="Z38" s="286">
        <f t="shared" si="3"/>
        <v>-1102.0241948465582</v>
      </c>
      <c r="AA38" s="286">
        <f t="shared" si="3"/>
        <v>-1102.0241948465582</v>
      </c>
      <c r="AB38" s="286">
        <f t="shared" si="3"/>
        <v>-1102.0241948465582</v>
      </c>
      <c r="AC38" s="286">
        <f t="shared" si="3"/>
        <v>-1102.0241948465582</v>
      </c>
      <c r="AD38" s="286">
        <f t="shared" si="3"/>
        <v>-1102.0241948465582</v>
      </c>
      <c r="AE38" s="286">
        <f t="shared" si="3"/>
        <v>-1102.0241948465582</v>
      </c>
      <c r="AG38" s="288">
        <v>0</v>
      </c>
      <c r="AH38" s="286">
        <f>(((AH$36*$AG38)*((1-$C$33)*$C$21+$C$23))-($C$25-($C$25*$C$31)))</f>
        <v>-2204.0483896931164</v>
      </c>
      <c r="AI38" s="286">
        <f t="shared" ref="AI38:AR38" si="4">(((AI$36*$AG38)*((1-$C$33)*$C$21+$C$23))-($C$25-($C$25*$C$31)))</f>
        <v>-2204.0483896931164</v>
      </c>
      <c r="AJ38" s="286">
        <f t="shared" si="4"/>
        <v>-2204.0483896931164</v>
      </c>
      <c r="AK38" s="286">
        <f t="shared" si="4"/>
        <v>-2204.0483896931164</v>
      </c>
      <c r="AL38" s="286">
        <f t="shared" si="4"/>
        <v>-2204.0483896931164</v>
      </c>
      <c r="AM38" s="286">
        <f t="shared" si="4"/>
        <v>-2204.0483896931164</v>
      </c>
      <c r="AN38" s="286">
        <f t="shared" si="4"/>
        <v>-2204.0483896931164</v>
      </c>
      <c r="AO38" s="286">
        <f t="shared" si="4"/>
        <v>-2204.0483896931164</v>
      </c>
      <c r="AP38" s="286">
        <f t="shared" si="4"/>
        <v>-2204.0483896931164</v>
      </c>
      <c r="AQ38" s="286">
        <f t="shared" si="4"/>
        <v>-2204.0483896931164</v>
      </c>
      <c r="AR38" s="286">
        <f t="shared" si="4"/>
        <v>-2204.0483896931164</v>
      </c>
    </row>
    <row r="39" spans="2:59" hidden="1" outlineLevel="1" x14ac:dyDescent="0.25">
      <c r="G39" s="288">
        <v>0.05</v>
      </c>
      <c r="H39" s="286">
        <f t="shared" si="2"/>
        <v>-2201.9483896931165</v>
      </c>
      <c r="I39" s="286">
        <f t="shared" si="2"/>
        <v>-2183.0483896931164</v>
      </c>
      <c r="J39" s="286">
        <f t="shared" si="2"/>
        <v>-2162.0483896931164</v>
      </c>
      <c r="K39" s="286">
        <f t="shared" si="2"/>
        <v>-2141.0483896931164</v>
      </c>
      <c r="L39" s="286">
        <f t="shared" si="2"/>
        <v>-2120.0483896931164</v>
      </c>
      <c r="M39" s="286">
        <f t="shared" si="2"/>
        <v>-2099.0483896931164</v>
      </c>
      <c r="N39" s="286">
        <f t="shared" si="2"/>
        <v>-2078.0483896931164</v>
      </c>
      <c r="O39" s="286">
        <f t="shared" si="2"/>
        <v>-2057.0483896931164</v>
      </c>
      <c r="P39" s="286">
        <f t="shared" si="2"/>
        <v>-2036.0483896931164</v>
      </c>
      <c r="Q39" s="286">
        <f t="shared" si="2"/>
        <v>-2015.0483896931164</v>
      </c>
      <c r="R39" s="286">
        <f t="shared" si="2"/>
        <v>-1994.0483896931164</v>
      </c>
      <c r="T39" s="288">
        <v>0.05</v>
      </c>
      <c r="U39" s="286">
        <f t="shared" si="3"/>
        <v>-1099.9241948465583</v>
      </c>
      <c r="V39" s="286">
        <f t="shared" si="3"/>
        <v>-1081.0241948465582</v>
      </c>
      <c r="W39" s="286">
        <f t="shared" si="3"/>
        <v>-1060.0241948465582</v>
      </c>
      <c r="X39" s="286">
        <f t="shared" si="3"/>
        <v>-1039.0241948465582</v>
      </c>
      <c r="Y39" s="286">
        <f t="shared" si="3"/>
        <v>-1018.0241948465582</v>
      </c>
      <c r="Z39" s="286">
        <f t="shared" si="3"/>
        <v>-997.0241948465582</v>
      </c>
      <c r="AA39" s="286">
        <f t="shared" si="3"/>
        <v>-976.0241948465582</v>
      </c>
      <c r="AB39" s="286">
        <f t="shared" si="3"/>
        <v>-955.0241948465582</v>
      </c>
      <c r="AC39" s="286">
        <f t="shared" si="3"/>
        <v>-934.0241948465582</v>
      </c>
      <c r="AD39" s="286">
        <f t="shared" si="3"/>
        <v>-913.0241948465582</v>
      </c>
      <c r="AE39" s="286">
        <f t="shared" si="3"/>
        <v>-892.0241948465582</v>
      </c>
      <c r="AG39" s="288">
        <v>0.05</v>
      </c>
      <c r="AH39" s="286">
        <f t="shared" ref="AH39:AR58" si="5">(((AH$36*$AG39)*((1-$C$33)*$C$21+$C$23))-($C$25-($C$25*$C$31)))</f>
        <v>-2202.4483896931165</v>
      </c>
      <c r="AI39" s="286">
        <f t="shared" si="5"/>
        <v>-2188.0483896931164</v>
      </c>
      <c r="AJ39" s="286">
        <f t="shared" si="5"/>
        <v>-2172.0483896931164</v>
      </c>
      <c r="AK39" s="286">
        <f t="shared" si="5"/>
        <v>-2156.0483896931164</v>
      </c>
      <c r="AL39" s="286">
        <f t="shared" si="5"/>
        <v>-2140.0483896931164</v>
      </c>
      <c r="AM39" s="286">
        <f t="shared" si="5"/>
        <v>-2124.0483896931164</v>
      </c>
      <c r="AN39" s="286">
        <f t="shared" si="5"/>
        <v>-2108.0483896931164</v>
      </c>
      <c r="AO39" s="286">
        <f t="shared" si="5"/>
        <v>-2092.0483896931164</v>
      </c>
      <c r="AP39" s="286">
        <f t="shared" si="5"/>
        <v>-2076.0483896931164</v>
      </c>
      <c r="AQ39" s="286">
        <f t="shared" si="5"/>
        <v>-2060.0483896931164</v>
      </c>
      <c r="AR39" s="286">
        <f t="shared" si="5"/>
        <v>-2044.0483896931164</v>
      </c>
    </row>
    <row r="40" spans="2:59" hidden="1" outlineLevel="1" x14ac:dyDescent="0.25">
      <c r="G40" s="288">
        <v>0.1</v>
      </c>
      <c r="H40" s="286">
        <f t="shared" si="2"/>
        <v>-2199.8483896931166</v>
      </c>
      <c r="I40" s="286">
        <f t="shared" si="2"/>
        <v>-2162.0483896931164</v>
      </c>
      <c r="J40" s="286">
        <f t="shared" si="2"/>
        <v>-2120.0483896931164</v>
      </c>
      <c r="K40" s="286">
        <f t="shared" si="2"/>
        <v>-2078.0483896931164</v>
      </c>
      <c r="L40" s="286">
        <f t="shared" si="2"/>
        <v>-2036.0483896931164</v>
      </c>
      <c r="M40" s="286">
        <f t="shared" si="2"/>
        <v>-1994.0483896931164</v>
      </c>
      <c r="N40" s="286">
        <f t="shared" si="2"/>
        <v>-1952.0483896931164</v>
      </c>
      <c r="O40" s="286">
        <f t="shared" si="2"/>
        <v>-1910.0483896931164</v>
      </c>
      <c r="P40" s="286">
        <f t="shared" si="2"/>
        <v>-1868.0483896931164</v>
      </c>
      <c r="Q40" s="286">
        <f t="shared" si="2"/>
        <v>-1826.0483896931164</v>
      </c>
      <c r="R40" s="286">
        <f t="shared" si="2"/>
        <v>-1784.0483896931164</v>
      </c>
      <c r="T40" s="288">
        <v>0.1</v>
      </c>
      <c r="U40" s="286">
        <f t="shared" si="3"/>
        <v>-1097.8241948465582</v>
      </c>
      <c r="V40" s="286">
        <f t="shared" si="3"/>
        <v>-1060.0241948465582</v>
      </c>
      <c r="W40" s="286">
        <f t="shared" si="3"/>
        <v>-1018.0241948465582</v>
      </c>
      <c r="X40" s="286">
        <f t="shared" si="3"/>
        <v>-976.0241948465582</v>
      </c>
      <c r="Y40" s="286">
        <f t="shared" si="3"/>
        <v>-934.0241948465582</v>
      </c>
      <c r="Z40" s="286">
        <f t="shared" si="3"/>
        <v>-892.0241948465582</v>
      </c>
      <c r="AA40" s="286">
        <f t="shared" si="3"/>
        <v>-850.0241948465582</v>
      </c>
      <c r="AB40" s="286">
        <f t="shared" si="3"/>
        <v>-808.0241948465582</v>
      </c>
      <c r="AC40" s="286">
        <f t="shared" si="3"/>
        <v>-766.0241948465582</v>
      </c>
      <c r="AD40" s="286">
        <f t="shared" si="3"/>
        <v>-724.0241948465582</v>
      </c>
      <c r="AE40" s="286">
        <f t="shared" si="3"/>
        <v>-682.0241948465582</v>
      </c>
      <c r="AG40" s="288">
        <v>0.1</v>
      </c>
      <c r="AH40" s="286">
        <f t="shared" si="5"/>
        <v>-2200.8483896931166</v>
      </c>
      <c r="AI40" s="286">
        <f t="shared" si="5"/>
        <v>-2172.0483896931164</v>
      </c>
      <c r="AJ40" s="286">
        <f t="shared" si="5"/>
        <v>-2140.0483896931164</v>
      </c>
      <c r="AK40" s="286">
        <f t="shared" si="5"/>
        <v>-2108.0483896931164</v>
      </c>
      <c r="AL40" s="286">
        <f t="shared" si="5"/>
        <v>-2076.0483896931164</v>
      </c>
      <c r="AM40" s="286">
        <f t="shared" si="5"/>
        <v>-2044.0483896931164</v>
      </c>
      <c r="AN40" s="286">
        <f t="shared" si="5"/>
        <v>-2012.0483896931164</v>
      </c>
      <c r="AO40" s="286">
        <f t="shared" si="5"/>
        <v>-1980.0483896931164</v>
      </c>
      <c r="AP40" s="286">
        <f t="shared" si="5"/>
        <v>-1948.0483896931164</v>
      </c>
      <c r="AQ40" s="286">
        <f t="shared" si="5"/>
        <v>-1916.0483896931164</v>
      </c>
      <c r="AR40" s="286">
        <f t="shared" si="5"/>
        <v>-1884.0483896931164</v>
      </c>
    </row>
    <row r="41" spans="2:59" hidden="1" outlineLevel="1" x14ac:dyDescent="0.25">
      <c r="G41" s="288">
        <v>0.15</v>
      </c>
      <c r="H41" s="286">
        <f t="shared" si="2"/>
        <v>-2197.7483896931162</v>
      </c>
      <c r="I41" s="286">
        <f t="shared" si="2"/>
        <v>-2141.0483896931164</v>
      </c>
      <c r="J41" s="286">
        <f t="shared" si="2"/>
        <v>-2078.0483896931164</v>
      </c>
      <c r="K41" s="286">
        <f t="shared" si="2"/>
        <v>-2015.0483896931164</v>
      </c>
      <c r="L41" s="286">
        <f t="shared" si="2"/>
        <v>-1952.0483896931164</v>
      </c>
      <c r="M41" s="286">
        <f t="shared" si="2"/>
        <v>-1889.0483896931164</v>
      </c>
      <c r="N41" s="286">
        <f t="shared" si="2"/>
        <v>-1826.0483896931164</v>
      </c>
      <c r="O41" s="286">
        <f t="shared" si="2"/>
        <v>-1763.0483896931164</v>
      </c>
      <c r="P41" s="286">
        <f t="shared" si="2"/>
        <v>-1700.0483896931164</v>
      </c>
      <c r="Q41" s="286">
        <f t="shared" si="2"/>
        <v>-1637.0483896931164</v>
      </c>
      <c r="R41" s="286">
        <f t="shared" si="2"/>
        <v>-1574.0483896931164</v>
      </c>
      <c r="T41" s="288">
        <v>0.15</v>
      </c>
      <c r="U41" s="286">
        <f t="shared" si="3"/>
        <v>-1095.7241948465582</v>
      </c>
      <c r="V41" s="286">
        <f t="shared" si="3"/>
        <v>-1039.0241948465582</v>
      </c>
      <c r="W41" s="286">
        <f t="shared" si="3"/>
        <v>-976.0241948465582</v>
      </c>
      <c r="X41" s="286">
        <f t="shared" si="3"/>
        <v>-913.0241948465582</v>
      </c>
      <c r="Y41" s="286">
        <f t="shared" si="3"/>
        <v>-850.0241948465582</v>
      </c>
      <c r="Z41" s="286">
        <f t="shared" si="3"/>
        <v>-787.0241948465582</v>
      </c>
      <c r="AA41" s="286">
        <f t="shared" si="3"/>
        <v>-724.0241948465582</v>
      </c>
      <c r="AB41" s="286">
        <f t="shared" si="3"/>
        <v>-661.0241948465582</v>
      </c>
      <c r="AC41" s="286">
        <f t="shared" si="3"/>
        <v>-598.0241948465582</v>
      </c>
      <c r="AD41" s="286">
        <f t="shared" si="3"/>
        <v>-535.0241948465582</v>
      </c>
      <c r="AE41" s="286">
        <f t="shared" si="3"/>
        <v>-472.0241948465582</v>
      </c>
      <c r="AG41" s="288">
        <v>0.15</v>
      </c>
      <c r="AH41" s="286">
        <f t="shared" si="5"/>
        <v>-2199.2483896931162</v>
      </c>
      <c r="AI41" s="286">
        <f t="shared" si="5"/>
        <v>-2156.0483896931164</v>
      </c>
      <c r="AJ41" s="286">
        <f t="shared" si="5"/>
        <v>-2108.0483896931164</v>
      </c>
      <c r="AK41" s="286">
        <f t="shared" si="5"/>
        <v>-2060.0483896931164</v>
      </c>
      <c r="AL41" s="286">
        <f t="shared" si="5"/>
        <v>-2012.0483896931164</v>
      </c>
      <c r="AM41" s="286">
        <f t="shared" si="5"/>
        <v>-1964.0483896931164</v>
      </c>
      <c r="AN41" s="286">
        <f t="shared" si="5"/>
        <v>-1916.0483896931164</v>
      </c>
      <c r="AO41" s="286">
        <f t="shared" si="5"/>
        <v>-1868.0483896931164</v>
      </c>
      <c r="AP41" s="286">
        <f t="shared" si="5"/>
        <v>-1820.0483896931164</v>
      </c>
      <c r="AQ41" s="286">
        <f t="shared" si="5"/>
        <v>-1772.0483896931164</v>
      </c>
      <c r="AR41" s="286">
        <f t="shared" si="5"/>
        <v>-1724.0483896931164</v>
      </c>
    </row>
    <row r="42" spans="2:59" hidden="1" outlineLevel="1" x14ac:dyDescent="0.25">
      <c r="G42" s="288">
        <v>0.2</v>
      </c>
      <c r="H42" s="286">
        <f t="shared" si="2"/>
        <v>-2195.6483896931163</v>
      </c>
      <c r="I42" s="286">
        <f t="shared" si="2"/>
        <v>-2120.0483896931164</v>
      </c>
      <c r="J42" s="286">
        <f t="shared" si="2"/>
        <v>-2036.0483896931164</v>
      </c>
      <c r="K42" s="286">
        <f t="shared" si="2"/>
        <v>-1952.0483896931164</v>
      </c>
      <c r="L42" s="286">
        <f t="shared" si="2"/>
        <v>-1868.0483896931164</v>
      </c>
      <c r="M42" s="286">
        <f t="shared" si="2"/>
        <v>-1784.0483896931164</v>
      </c>
      <c r="N42" s="286">
        <f t="shared" si="2"/>
        <v>-1700.0483896931164</v>
      </c>
      <c r="O42" s="286">
        <f t="shared" si="2"/>
        <v>-1616.0483896931164</v>
      </c>
      <c r="P42" s="286">
        <f t="shared" si="2"/>
        <v>-1532.0483896931164</v>
      </c>
      <c r="Q42" s="286">
        <f t="shared" si="2"/>
        <v>-1448.0483896931164</v>
      </c>
      <c r="R42" s="286">
        <f t="shared" si="2"/>
        <v>-1364.0483896931164</v>
      </c>
      <c r="T42" s="288">
        <v>0.2</v>
      </c>
      <c r="U42" s="286">
        <f t="shared" si="3"/>
        <v>-1093.6241948465581</v>
      </c>
      <c r="V42" s="286">
        <f t="shared" si="3"/>
        <v>-1018.0241948465582</v>
      </c>
      <c r="W42" s="286">
        <f t="shared" si="3"/>
        <v>-934.0241948465582</v>
      </c>
      <c r="X42" s="286">
        <f t="shared" si="3"/>
        <v>-850.0241948465582</v>
      </c>
      <c r="Y42" s="286">
        <f t="shared" si="3"/>
        <v>-766.0241948465582</v>
      </c>
      <c r="Z42" s="286">
        <f t="shared" si="3"/>
        <v>-682.0241948465582</v>
      </c>
      <c r="AA42" s="286">
        <f t="shared" si="3"/>
        <v>-598.0241948465582</v>
      </c>
      <c r="AB42" s="286">
        <f t="shared" si="3"/>
        <v>-514.02419484655832</v>
      </c>
      <c r="AC42" s="286">
        <f t="shared" si="3"/>
        <v>-430.02419484655809</v>
      </c>
      <c r="AD42" s="286">
        <f t="shared" si="3"/>
        <v>-346.02419484655809</v>
      </c>
      <c r="AE42" s="286">
        <f t="shared" si="3"/>
        <v>-262.0241948465582</v>
      </c>
      <c r="AG42" s="288">
        <v>0.2</v>
      </c>
      <c r="AH42" s="286">
        <f t="shared" si="5"/>
        <v>-2197.6483896931163</v>
      </c>
      <c r="AI42" s="286">
        <f t="shared" si="5"/>
        <v>-2140.0483896931164</v>
      </c>
      <c r="AJ42" s="286">
        <f t="shared" si="5"/>
        <v>-2076.0483896931164</v>
      </c>
      <c r="AK42" s="286">
        <f t="shared" si="5"/>
        <v>-2012.0483896931164</v>
      </c>
      <c r="AL42" s="286">
        <f t="shared" si="5"/>
        <v>-1948.0483896931164</v>
      </c>
      <c r="AM42" s="286">
        <f t="shared" si="5"/>
        <v>-1884.0483896931164</v>
      </c>
      <c r="AN42" s="286">
        <f t="shared" si="5"/>
        <v>-1820.0483896931164</v>
      </c>
      <c r="AO42" s="286">
        <f t="shared" si="5"/>
        <v>-1756.0483896931164</v>
      </c>
      <c r="AP42" s="286">
        <f t="shared" si="5"/>
        <v>-1692.0483896931164</v>
      </c>
      <c r="AQ42" s="286">
        <f t="shared" si="5"/>
        <v>-1628.0483896931164</v>
      </c>
      <c r="AR42" s="286">
        <f t="shared" si="5"/>
        <v>-1564.0483896931164</v>
      </c>
    </row>
    <row r="43" spans="2:59" hidden="1" outlineLevel="1" x14ac:dyDescent="0.25">
      <c r="G43" s="288">
        <v>0.25</v>
      </c>
      <c r="H43" s="286">
        <f t="shared" si="2"/>
        <v>-2193.5483896931164</v>
      </c>
      <c r="I43" s="286">
        <f t="shared" si="2"/>
        <v>-2099.0483896931164</v>
      </c>
      <c r="J43" s="286">
        <f t="shared" si="2"/>
        <v>-1994.0483896931164</v>
      </c>
      <c r="K43" s="286">
        <f t="shared" si="2"/>
        <v>-1889.0483896931164</v>
      </c>
      <c r="L43" s="286">
        <f t="shared" si="2"/>
        <v>-1784.0483896931164</v>
      </c>
      <c r="M43" s="286">
        <f t="shared" si="2"/>
        <v>-1679.0483896931164</v>
      </c>
      <c r="N43" s="286">
        <f t="shared" si="2"/>
        <v>-1574.0483896931164</v>
      </c>
      <c r="O43" s="286">
        <f t="shared" si="2"/>
        <v>-1469.0483896931164</v>
      </c>
      <c r="P43" s="286">
        <f t="shared" si="2"/>
        <v>-1364.0483896931164</v>
      </c>
      <c r="Q43" s="286">
        <f t="shared" si="2"/>
        <v>-1259.0483896931164</v>
      </c>
      <c r="R43" s="286">
        <f t="shared" si="2"/>
        <v>-1154.0483896931164</v>
      </c>
      <c r="T43" s="288">
        <v>0.25</v>
      </c>
      <c r="U43" s="286">
        <f t="shared" si="3"/>
        <v>-1091.5241948465582</v>
      </c>
      <c r="V43" s="286">
        <f t="shared" si="3"/>
        <v>-997.0241948465582</v>
      </c>
      <c r="W43" s="286">
        <f t="shared" si="3"/>
        <v>-892.0241948465582</v>
      </c>
      <c r="X43" s="286">
        <f t="shared" si="3"/>
        <v>-787.0241948465582</v>
      </c>
      <c r="Y43" s="286">
        <f t="shared" si="3"/>
        <v>-682.0241948465582</v>
      </c>
      <c r="Z43" s="286">
        <f t="shared" si="3"/>
        <v>-577.0241948465582</v>
      </c>
      <c r="AA43" s="286">
        <f t="shared" si="3"/>
        <v>-472.0241948465582</v>
      </c>
      <c r="AB43" s="286">
        <f t="shared" si="3"/>
        <v>-367.0241948465582</v>
      </c>
      <c r="AC43" s="286">
        <f t="shared" si="3"/>
        <v>-262.0241948465582</v>
      </c>
      <c r="AD43" s="286">
        <f t="shared" si="3"/>
        <v>-157.0241948465582</v>
      </c>
      <c r="AE43" s="286">
        <f t="shared" si="3"/>
        <v>-52.024194846558203</v>
      </c>
      <c r="AG43" s="288">
        <v>0.25</v>
      </c>
      <c r="AH43" s="286">
        <f t="shared" si="5"/>
        <v>-2196.0483896931164</v>
      </c>
      <c r="AI43" s="286">
        <f t="shared" si="5"/>
        <v>-2124.0483896931164</v>
      </c>
      <c r="AJ43" s="286">
        <f t="shared" si="5"/>
        <v>-2044.0483896931164</v>
      </c>
      <c r="AK43" s="286">
        <f t="shared" si="5"/>
        <v>-1964.0483896931164</v>
      </c>
      <c r="AL43" s="286">
        <f t="shared" si="5"/>
        <v>-1884.0483896931164</v>
      </c>
      <c r="AM43" s="286">
        <f t="shared" si="5"/>
        <v>-1804.0483896931164</v>
      </c>
      <c r="AN43" s="286">
        <f t="shared" si="5"/>
        <v>-1724.0483896931164</v>
      </c>
      <c r="AO43" s="286">
        <f t="shared" si="5"/>
        <v>-1644.0483896931164</v>
      </c>
      <c r="AP43" s="286">
        <f t="shared" si="5"/>
        <v>-1564.0483896931164</v>
      </c>
      <c r="AQ43" s="286">
        <f t="shared" si="5"/>
        <v>-1484.0483896931164</v>
      </c>
      <c r="AR43" s="286">
        <f t="shared" si="5"/>
        <v>-1404.0483896931164</v>
      </c>
    </row>
    <row r="44" spans="2:59" hidden="1" outlineLevel="1" x14ac:dyDescent="0.25">
      <c r="G44" s="288">
        <v>0.3</v>
      </c>
      <c r="H44" s="286">
        <f t="shared" si="2"/>
        <v>-2191.4483896931165</v>
      </c>
      <c r="I44" s="286">
        <f t="shared" si="2"/>
        <v>-2078.0483896931164</v>
      </c>
      <c r="J44" s="286">
        <f t="shared" si="2"/>
        <v>-1952.0483896931164</v>
      </c>
      <c r="K44" s="286">
        <f t="shared" si="2"/>
        <v>-1826.0483896931164</v>
      </c>
      <c r="L44" s="286">
        <f t="shared" si="2"/>
        <v>-1700.0483896931164</v>
      </c>
      <c r="M44" s="286">
        <f t="shared" si="2"/>
        <v>-1574.0483896931164</v>
      </c>
      <c r="N44" s="286">
        <f t="shared" si="2"/>
        <v>-1448.0483896931164</v>
      </c>
      <c r="O44" s="286">
        <f t="shared" si="2"/>
        <v>-1322.0483896931164</v>
      </c>
      <c r="P44" s="286">
        <f t="shared" si="2"/>
        <v>-1196.0483896931164</v>
      </c>
      <c r="Q44" s="286">
        <f t="shared" si="2"/>
        <v>-1070.0483896931164</v>
      </c>
      <c r="R44" s="286">
        <f t="shared" si="2"/>
        <v>-944.04838969311641</v>
      </c>
      <c r="T44" s="288">
        <v>0.3</v>
      </c>
      <c r="U44" s="286">
        <f t="shared" si="3"/>
        <v>-1089.4241948465583</v>
      </c>
      <c r="V44" s="286">
        <f t="shared" si="3"/>
        <v>-976.0241948465582</v>
      </c>
      <c r="W44" s="286">
        <f t="shared" si="3"/>
        <v>-850.0241948465582</v>
      </c>
      <c r="X44" s="286">
        <f t="shared" si="3"/>
        <v>-724.0241948465582</v>
      </c>
      <c r="Y44" s="286">
        <f t="shared" si="3"/>
        <v>-598.0241948465582</v>
      </c>
      <c r="Z44" s="286">
        <f t="shared" si="3"/>
        <v>-472.0241948465582</v>
      </c>
      <c r="AA44" s="286">
        <f t="shared" si="3"/>
        <v>-346.0241948465582</v>
      </c>
      <c r="AB44" s="286">
        <f t="shared" si="3"/>
        <v>-220.0241948465582</v>
      </c>
      <c r="AC44" s="286">
        <f t="shared" si="3"/>
        <v>-94.024194846558203</v>
      </c>
      <c r="AD44" s="286">
        <f t="shared" si="3"/>
        <v>31.975805153441797</v>
      </c>
      <c r="AE44" s="286">
        <f t="shared" si="3"/>
        <v>157.9758051534418</v>
      </c>
      <c r="AG44" s="288">
        <v>0.3</v>
      </c>
      <c r="AH44" s="286">
        <f t="shared" si="5"/>
        <v>-2194.4483896931165</v>
      </c>
      <c r="AI44" s="286">
        <f t="shared" si="5"/>
        <v>-2108.0483896931164</v>
      </c>
      <c r="AJ44" s="286">
        <f t="shared" si="5"/>
        <v>-2012.0483896931164</v>
      </c>
      <c r="AK44" s="286">
        <f t="shared" si="5"/>
        <v>-1916.0483896931164</v>
      </c>
      <c r="AL44" s="286">
        <f t="shared" si="5"/>
        <v>-1820.0483896931164</v>
      </c>
      <c r="AM44" s="286">
        <f t="shared" si="5"/>
        <v>-1724.0483896931164</v>
      </c>
      <c r="AN44" s="286">
        <f t="shared" si="5"/>
        <v>-1628.0483896931164</v>
      </c>
      <c r="AO44" s="286">
        <f t="shared" si="5"/>
        <v>-1532.0483896931164</v>
      </c>
      <c r="AP44" s="286">
        <f t="shared" si="5"/>
        <v>-1436.0483896931164</v>
      </c>
      <c r="AQ44" s="286">
        <f t="shared" si="5"/>
        <v>-1340.0483896931164</v>
      </c>
      <c r="AR44" s="286">
        <f t="shared" si="5"/>
        <v>-1244.0483896931164</v>
      </c>
    </row>
    <row r="45" spans="2:59" hidden="1" outlineLevel="1" x14ac:dyDescent="0.25">
      <c r="G45" s="288">
        <v>0.35</v>
      </c>
      <c r="H45" s="286">
        <f t="shared" si="2"/>
        <v>-2189.3483896931166</v>
      </c>
      <c r="I45" s="286">
        <f t="shared" si="2"/>
        <v>-2057.0483896931164</v>
      </c>
      <c r="J45" s="286">
        <f t="shared" si="2"/>
        <v>-1910.0483896931164</v>
      </c>
      <c r="K45" s="286">
        <f t="shared" si="2"/>
        <v>-1763.0483896931164</v>
      </c>
      <c r="L45" s="286">
        <f t="shared" si="2"/>
        <v>-1616.0483896931164</v>
      </c>
      <c r="M45" s="286">
        <f t="shared" si="2"/>
        <v>-1469.0483896931164</v>
      </c>
      <c r="N45" s="286">
        <f t="shared" si="2"/>
        <v>-1322.0483896931164</v>
      </c>
      <c r="O45" s="286">
        <f t="shared" si="2"/>
        <v>-1175.0483896931166</v>
      </c>
      <c r="P45" s="286">
        <f t="shared" si="2"/>
        <v>-1028.0483896931166</v>
      </c>
      <c r="Q45" s="286">
        <f t="shared" si="2"/>
        <v>-881.04838969311641</v>
      </c>
      <c r="R45" s="286">
        <f t="shared" si="2"/>
        <v>-734.04838969311641</v>
      </c>
      <c r="T45" s="288">
        <v>0.35</v>
      </c>
      <c r="U45" s="286">
        <f t="shared" si="3"/>
        <v>-1087.3241948465582</v>
      </c>
      <c r="V45" s="286">
        <f t="shared" si="3"/>
        <v>-955.0241948465582</v>
      </c>
      <c r="W45" s="286">
        <f t="shared" si="3"/>
        <v>-808.0241948465582</v>
      </c>
      <c r="X45" s="286">
        <f t="shared" si="3"/>
        <v>-661.0241948465582</v>
      </c>
      <c r="Y45" s="286">
        <f t="shared" si="3"/>
        <v>-514.02419484655832</v>
      </c>
      <c r="Z45" s="286">
        <f t="shared" si="3"/>
        <v>-367.0241948465582</v>
      </c>
      <c r="AA45" s="286">
        <f t="shared" si="3"/>
        <v>-220.0241948465582</v>
      </c>
      <c r="AB45" s="286">
        <f t="shared" si="3"/>
        <v>-73.02419484655843</v>
      </c>
      <c r="AC45" s="286">
        <f t="shared" si="3"/>
        <v>73.97580515344157</v>
      </c>
      <c r="AD45" s="286">
        <f t="shared" si="3"/>
        <v>220.9758051534418</v>
      </c>
      <c r="AE45" s="286">
        <f t="shared" si="3"/>
        <v>367.9758051534418</v>
      </c>
      <c r="AG45" s="288">
        <v>0.35</v>
      </c>
      <c r="AH45" s="286">
        <f t="shared" si="5"/>
        <v>-2192.8483896931166</v>
      </c>
      <c r="AI45" s="286">
        <f t="shared" si="5"/>
        <v>-2092.0483896931164</v>
      </c>
      <c r="AJ45" s="286">
        <f t="shared" si="5"/>
        <v>-1980.0483896931164</v>
      </c>
      <c r="AK45" s="286">
        <f t="shared" si="5"/>
        <v>-1868.0483896931164</v>
      </c>
      <c r="AL45" s="286">
        <f t="shared" si="5"/>
        <v>-1756.0483896931164</v>
      </c>
      <c r="AM45" s="286">
        <f t="shared" si="5"/>
        <v>-1644.0483896931164</v>
      </c>
      <c r="AN45" s="286">
        <f t="shared" si="5"/>
        <v>-1532.0483896931164</v>
      </c>
      <c r="AO45" s="286">
        <f t="shared" si="5"/>
        <v>-1420.0483896931164</v>
      </c>
      <c r="AP45" s="286">
        <f t="shared" si="5"/>
        <v>-1308.0483896931164</v>
      </c>
      <c r="AQ45" s="286">
        <f t="shared" si="5"/>
        <v>-1196.0483896931164</v>
      </c>
      <c r="AR45" s="286">
        <f t="shared" si="5"/>
        <v>-1084.0483896931164</v>
      </c>
    </row>
    <row r="46" spans="2:59" hidden="1" outlineLevel="1" collapsed="1" x14ac:dyDescent="0.25">
      <c r="G46" s="288">
        <v>0.4</v>
      </c>
      <c r="H46" s="286">
        <f t="shared" si="2"/>
        <v>-2187.2483896931162</v>
      </c>
      <c r="I46" s="286">
        <f t="shared" si="2"/>
        <v>-2036.0483896931164</v>
      </c>
      <c r="J46" s="286">
        <f t="shared" si="2"/>
        <v>-1868.0483896931164</v>
      </c>
      <c r="K46" s="286">
        <f t="shared" si="2"/>
        <v>-1700.0483896931164</v>
      </c>
      <c r="L46" s="286">
        <f t="shared" si="2"/>
        <v>-1532.0483896931164</v>
      </c>
      <c r="M46" s="286">
        <f t="shared" si="2"/>
        <v>-1364.0483896931164</v>
      </c>
      <c r="N46" s="286">
        <f t="shared" si="2"/>
        <v>-1196.0483896931164</v>
      </c>
      <c r="O46" s="286">
        <f t="shared" si="2"/>
        <v>-1028.0483896931166</v>
      </c>
      <c r="P46" s="286">
        <f t="shared" si="2"/>
        <v>-860.04838969311618</v>
      </c>
      <c r="Q46" s="286">
        <f t="shared" si="2"/>
        <v>-692.04838969311618</v>
      </c>
      <c r="R46" s="286">
        <f t="shared" si="2"/>
        <v>-524.04838969311641</v>
      </c>
      <c r="T46" s="288">
        <v>0.4</v>
      </c>
      <c r="U46" s="286">
        <f t="shared" si="3"/>
        <v>-1085.2241948465582</v>
      </c>
      <c r="V46" s="286">
        <f t="shared" si="3"/>
        <v>-934.0241948465582</v>
      </c>
      <c r="W46" s="286">
        <f t="shared" si="3"/>
        <v>-766.0241948465582</v>
      </c>
      <c r="X46" s="286">
        <f t="shared" si="3"/>
        <v>-598.0241948465582</v>
      </c>
      <c r="Y46" s="286">
        <f t="shared" si="3"/>
        <v>-430.02419484655809</v>
      </c>
      <c r="Z46" s="286">
        <f t="shared" si="3"/>
        <v>-262.0241948465582</v>
      </c>
      <c r="AA46" s="286">
        <f t="shared" si="3"/>
        <v>-94.024194846558203</v>
      </c>
      <c r="AB46" s="286">
        <f t="shared" si="3"/>
        <v>73.97580515344157</v>
      </c>
      <c r="AC46" s="286">
        <f t="shared" si="3"/>
        <v>241.97580515344202</v>
      </c>
      <c r="AD46" s="286">
        <f t="shared" si="3"/>
        <v>409.97580515344202</v>
      </c>
      <c r="AE46" s="286">
        <f t="shared" si="3"/>
        <v>577.9758051534418</v>
      </c>
      <c r="AG46" s="288">
        <v>0.4</v>
      </c>
      <c r="AH46" s="286">
        <f t="shared" si="5"/>
        <v>-2191.2483896931162</v>
      </c>
      <c r="AI46" s="286">
        <f t="shared" si="5"/>
        <v>-2076.0483896931164</v>
      </c>
      <c r="AJ46" s="286">
        <f t="shared" si="5"/>
        <v>-1948.0483896931164</v>
      </c>
      <c r="AK46" s="286">
        <f t="shared" si="5"/>
        <v>-1820.0483896931164</v>
      </c>
      <c r="AL46" s="286">
        <f t="shared" si="5"/>
        <v>-1692.0483896931164</v>
      </c>
      <c r="AM46" s="286">
        <f t="shared" si="5"/>
        <v>-1564.0483896931164</v>
      </c>
      <c r="AN46" s="286">
        <f t="shared" si="5"/>
        <v>-1436.0483896931164</v>
      </c>
      <c r="AO46" s="286">
        <f t="shared" si="5"/>
        <v>-1308.0483896931164</v>
      </c>
      <c r="AP46" s="286">
        <f t="shared" si="5"/>
        <v>-1180.0483896931162</v>
      </c>
      <c r="AQ46" s="286">
        <f t="shared" si="5"/>
        <v>-1052.0483896931162</v>
      </c>
      <c r="AR46" s="286">
        <f t="shared" si="5"/>
        <v>-924.04838969311641</v>
      </c>
    </row>
    <row r="47" spans="2:59" hidden="1" outlineLevel="1" x14ac:dyDescent="0.25">
      <c r="G47" s="288">
        <v>0.45</v>
      </c>
      <c r="H47" s="286">
        <f t="shared" si="2"/>
        <v>-2185.1483896931163</v>
      </c>
      <c r="I47" s="286">
        <f t="shared" si="2"/>
        <v>-2015.0483896931164</v>
      </c>
      <c r="J47" s="286">
        <f t="shared" si="2"/>
        <v>-1826.0483896931164</v>
      </c>
      <c r="K47" s="286">
        <f t="shared" si="2"/>
        <v>-1637.0483896931164</v>
      </c>
      <c r="L47" s="286">
        <f t="shared" si="2"/>
        <v>-1448.0483896931164</v>
      </c>
      <c r="M47" s="286">
        <f t="shared" si="2"/>
        <v>-1259.0483896931164</v>
      </c>
      <c r="N47" s="286">
        <f t="shared" si="2"/>
        <v>-1070.0483896931164</v>
      </c>
      <c r="O47" s="286">
        <f t="shared" si="2"/>
        <v>-881.04838969311641</v>
      </c>
      <c r="P47" s="286">
        <f t="shared" si="2"/>
        <v>-692.04838969311618</v>
      </c>
      <c r="Q47" s="286">
        <f t="shared" si="2"/>
        <v>-503.04838969311641</v>
      </c>
      <c r="R47" s="286">
        <f t="shared" si="2"/>
        <v>-314.04838969311641</v>
      </c>
      <c r="T47" s="288">
        <v>0.45</v>
      </c>
      <c r="U47" s="286">
        <f t="shared" si="3"/>
        <v>-1083.1241948465581</v>
      </c>
      <c r="V47" s="286">
        <f t="shared" si="3"/>
        <v>-913.0241948465582</v>
      </c>
      <c r="W47" s="286">
        <f t="shared" si="3"/>
        <v>-724.0241948465582</v>
      </c>
      <c r="X47" s="286">
        <f t="shared" si="3"/>
        <v>-535.0241948465582</v>
      </c>
      <c r="Y47" s="286">
        <f t="shared" si="3"/>
        <v>-346.02419484655809</v>
      </c>
      <c r="Z47" s="286">
        <f t="shared" si="3"/>
        <v>-157.0241948465582</v>
      </c>
      <c r="AA47" s="286">
        <f t="shared" si="3"/>
        <v>31.975805153441797</v>
      </c>
      <c r="AB47" s="286">
        <f t="shared" si="3"/>
        <v>220.9758051534418</v>
      </c>
      <c r="AC47" s="286">
        <f t="shared" si="3"/>
        <v>409.97580515344202</v>
      </c>
      <c r="AD47" s="286">
        <f t="shared" si="3"/>
        <v>598.9758051534418</v>
      </c>
      <c r="AE47" s="286">
        <f t="shared" si="3"/>
        <v>787.9758051534418</v>
      </c>
      <c r="AG47" s="288">
        <v>0.45</v>
      </c>
      <c r="AH47" s="286">
        <f t="shared" si="5"/>
        <v>-2189.6483896931163</v>
      </c>
      <c r="AI47" s="286">
        <f t="shared" si="5"/>
        <v>-2060.0483896931164</v>
      </c>
      <c r="AJ47" s="286">
        <f t="shared" si="5"/>
        <v>-1916.0483896931164</v>
      </c>
      <c r="AK47" s="286">
        <f t="shared" si="5"/>
        <v>-1772.0483896931164</v>
      </c>
      <c r="AL47" s="286">
        <f t="shared" si="5"/>
        <v>-1628.0483896931164</v>
      </c>
      <c r="AM47" s="286">
        <f t="shared" si="5"/>
        <v>-1484.0483896931164</v>
      </c>
      <c r="AN47" s="286">
        <f t="shared" si="5"/>
        <v>-1340.0483896931164</v>
      </c>
      <c r="AO47" s="286">
        <f t="shared" si="5"/>
        <v>-1196.0483896931164</v>
      </c>
      <c r="AP47" s="286">
        <f t="shared" si="5"/>
        <v>-1052.0483896931162</v>
      </c>
      <c r="AQ47" s="286">
        <f t="shared" si="5"/>
        <v>-908.04838969311641</v>
      </c>
      <c r="AR47" s="286">
        <f t="shared" si="5"/>
        <v>-764.04838969311641</v>
      </c>
    </row>
    <row r="48" spans="2:59" collapsed="1" x14ac:dyDescent="0.25">
      <c r="G48" s="288">
        <v>0.5</v>
      </c>
      <c r="H48" s="286">
        <f t="shared" ref="H48:R58" si="6">(((H$36*$G48)*($C$21+$C$23))-($C$25-($C$25*$C$31)))</f>
        <v>-2183.0483896931164</v>
      </c>
      <c r="I48" s="286">
        <f t="shared" si="6"/>
        <v>-1994.0483896931164</v>
      </c>
      <c r="J48" s="286">
        <f t="shared" si="6"/>
        <v>-1784.0483896931164</v>
      </c>
      <c r="K48" s="286">
        <f t="shared" si="6"/>
        <v>-1574.0483896931164</v>
      </c>
      <c r="L48" s="286">
        <f t="shared" si="6"/>
        <v>-1364.0483896931164</v>
      </c>
      <c r="M48" s="286">
        <f t="shared" si="6"/>
        <v>-1154.0483896931164</v>
      </c>
      <c r="N48" s="286">
        <f t="shared" si="6"/>
        <v>-944.04838969311641</v>
      </c>
      <c r="O48" s="286">
        <f t="shared" si="6"/>
        <v>-734.04838969311641</v>
      </c>
      <c r="P48" s="286">
        <f t="shared" si="6"/>
        <v>-524.04838969311641</v>
      </c>
      <c r="Q48" s="286">
        <f t="shared" si="6"/>
        <v>-314.04838969311641</v>
      </c>
      <c r="R48" s="286">
        <f t="shared" si="6"/>
        <v>-104.04838969311641</v>
      </c>
      <c r="T48" s="288">
        <v>0.5</v>
      </c>
      <c r="U48" s="286">
        <f t="shared" ref="U48:AE58" si="7">(((U$36*$T48)*($C$21+$C$23))-($C$25-($C$25*$C$32)))</f>
        <v>-1081.0241948465582</v>
      </c>
      <c r="V48" s="286">
        <f t="shared" si="7"/>
        <v>-892.0241948465582</v>
      </c>
      <c r="W48" s="286">
        <f t="shared" si="7"/>
        <v>-682.0241948465582</v>
      </c>
      <c r="X48" s="286">
        <f t="shared" si="7"/>
        <v>-472.0241948465582</v>
      </c>
      <c r="Y48" s="286">
        <f t="shared" si="7"/>
        <v>-262.0241948465582</v>
      </c>
      <c r="Z48" s="286">
        <f t="shared" si="7"/>
        <v>-52.024194846558203</v>
      </c>
      <c r="AA48" s="286">
        <f t="shared" si="7"/>
        <v>157.9758051534418</v>
      </c>
      <c r="AB48" s="286">
        <f t="shared" si="7"/>
        <v>367.9758051534418</v>
      </c>
      <c r="AC48" s="286">
        <f t="shared" si="7"/>
        <v>577.9758051534418</v>
      </c>
      <c r="AD48" s="286">
        <f t="shared" si="7"/>
        <v>787.9758051534418</v>
      </c>
      <c r="AE48" s="286">
        <f t="shared" si="7"/>
        <v>997.9758051534418</v>
      </c>
      <c r="AG48" s="288">
        <v>0.5</v>
      </c>
      <c r="AH48" s="286">
        <f t="shared" si="5"/>
        <v>-2188.0483896931164</v>
      </c>
      <c r="AI48" s="286">
        <f t="shared" si="5"/>
        <v>-2044.0483896931164</v>
      </c>
      <c r="AJ48" s="286">
        <f t="shared" si="5"/>
        <v>-1884.0483896931164</v>
      </c>
      <c r="AK48" s="286">
        <f t="shared" si="5"/>
        <v>-1724.0483896931164</v>
      </c>
      <c r="AL48" s="286">
        <f t="shared" si="5"/>
        <v>-1564.0483896931164</v>
      </c>
      <c r="AM48" s="286">
        <f t="shared" si="5"/>
        <v>-1404.0483896931164</v>
      </c>
      <c r="AN48" s="286">
        <f t="shared" si="5"/>
        <v>-1244.0483896931164</v>
      </c>
      <c r="AO48" s="286">
        <f t="shared" si="5"/>
        <v>-1084.0483896931164</v>
      </c>
      <c r="AP48" s="286">
        <f t="shared" si="5"/>
        <v>-924.04838969311641</v>
      </c>
      <c r="AQ48" s="286">
        <f t="shared" si="5"/>
        <v>-764.04838969311641</v>
      </c>
      <c r="AR48" s="286">
        <f t="shared" si="5"/>
        <v>-604.04838969311641</v>
      </c>
    </row>
    <row r="49" spans="7:48" x14ac:dyDescent="0.25">
      <c r="G49" s="288">
        <v>0.55000000000000004</v>
      </c>
      <c r="H49" s="286">
        <f t="shared" si="6"/>
        <v>-2180.9483896931165</v>
      </c>
      <c r="I49" s="286">
        <f t="shared" si="6"/>
        <v>-1973.0483896931164</v>
      </c>
      <c r="J49" s="286">
        <f t="shared" si="6"/>
        <v>-1742.0483896931164</v>
      </c>
      <c r="K49" s="286">
        <f t="shared" si="6"/>
        <v>-1511.0483896931164</v>
      </c>
      <c r="L49" s="286">
        <f t="shared" si="6"/>
        <v>-1280.0483896931164</v>
      </c>
      <c r="M49" s="286">
        <f t="shared" si="6"/>
        <v>-1049.0483896931164</v>
      </c>
      <c r="N49" s="286">
        <f t="shared" si="6"/>
        <v>-818.04838969311641</v>
      </c>
      <c r="O49" s="286">
        <f t="shared" si="6"/>
        <v>-587.04838969311641</v>
      </c>
      <c r="P49" s="286">
        <f t="shared" si="6"/>
        <v>-356.04838969311618</v>
      </c>
      <c r="Q49" s="286">
        <f t="shared" si="6"/>
        <v>-125.04838969311641</v>
      </c>
      <c r="R49" s="286">
        <f t="shared" si="6"/>
        <v>105.95161030688359</v>
      </c>
      <c r="T49" s="288">
        <v>0.55000000000000004</v>
      </c>
      <c r="U49" s="286">
        <f t="shared" si="7"/>
        <v>-1078.9241948465583</v>
      </c>
      <c r="V49" s="286">
        <f t="shared" si="7"/>
        <v>-871.0241948465582</v>
      </c>
      <c r="W49" s="286">
        <f t="shared" si="7"/>
        <v>-640.0241948465582</v>
      </c>
      <c r="X49" s="286">
        <f t="shared" si="7"/>
        <v>-409.0241948465582</v>
      </c>
      <c r="Y49" s="286">
        <f t="shared" si="7"/>
        <v>-178.02419484655809</v>
      </c>
      <c r="Z49" s="286">
        <f t="shared" si="7"/>
        <v>52.975805153441797</v>
      </c>
      <c r="AA49" s="286">
        <f t="shared" si="7"/>
        <v>283.9758051534418</v>
      </c>
      <c r="AB49" s="286">
        <f t="shared" si="7"/>
        <v>514.9758051534418</v>
      </c>
      <c r="AC49" s="286">
        <f t="shared" si="7"/>
        <v>745.97580515344202</v>
      </c>
      <c r="AD49" s="286">
        <f t="shared" si="7"/>
        <v>976.9758051534418</v>
      </c>
      <c r="AE49" s="286">
        <f t="shared" si="7"/>
        <v>1207.9758051534418</v>
      </c>
      <c r="AG49" s="288">
        <v>0.55000000000000004</v>
      </c>
      <c r="AH49" s="286">
        <f t="shared" si="5"/>
        <v>-2186.4483896931165</v>
      </c>
      <c r="AI49" s="286">
        <f t="shared" si="5"/>
        <v>-2028.0483896931164</v>
      </c>
      <c r="AJ49" s="286">
        <f t="shared" si="5"/>
        <v>-1852.0483896931164</v>
      </c>
      <c r="AK49" s="286">
        <f t="shared" si="5"/>
        <v>-1676.0483896931164</v>
      </c>
      <c r="AL49" s="286">
        <f t="shared" si="5"/>
        <v>-1500.0483896931164</v>
      </c>
      <c r="AM49" s="286">
        <f t="shared" si="5"/>
        <v>-1324.0483896931164</v>
      </c>
      <c r="AN49" s="286">
        <f t="shared" si="5"/>
        <v>-1148.0483896931164</v>
      </c>
      <c r="AO49" s="286">
        <f t="shared" si="5"/>
        <v>-972.04838969311641</v>
      </c>
      <c r="AP49" s="286">
        <f t="shared" si="5"/>
        <v>-796.04838969311618</v>
      </c>
      <c r="AQ49" s="286">
        <f t="shared" si="5"/>
        <v>-620.04838969311618</v>
      </c>
      <c r="AR49" s="286">
        <f t="shared" si="5"/>
        <v>-444.04838969311618</v>
      </c>
    </row>
    <row r="50" spans="7:48" x14ac:dyDescent="0.25">
      <c r="G50" s="288">
        <v>0.6</v>
      </c>
      <c r="H50" s="286">
        <f t="shared" si="6"/>
        <v>-2178.8483896931166</v>
      </c>
      <c r="I50" s="286">
        <f t="shared" si="6"/>
        <v>-1952.0483896931164</v>
      </c>
      <c r="J50" s="286">
        <f t="shared" si="6"/>
        <v>-1700.0483896931164</v>
      </c>
      <c r="K50" s="286">
        <f t="shared" si="6"/>
        <v>-1448.0483896931164</v>
      </c>
      <c r="L50" s="286">
        <f t="shared" si="6"/>
        <v>-1196.0483896931164</v>
      </c>
      <c r="M50" s="286">
        <f t="shared" si="6"/>
        <v>-944.04838969311641</v>
      </c>
      <c r="N50" s="286">
        <f t="shared" si="6"/>
        <v>-692.04838969311641</v>
      </c>
      <c r="O50" s="286">
        <f t="shared" si="6"/>
        <v>-440.04838969311641</v>
      </c>
      <c r="P50" s="286">
        <f t="shared" si="6"/>
        <v>-188.04838969311641</v>
      </c>
      <c r="Q50" s="286">
        <f t="shared" si="6"/>
        <v>63.951610306883595</v>
      </c>
      <c r="R50" s="286">
        <f t="shared" si="6"/>
        <v>315.95161030688359</v>
      </c>
      <c r="T50" s="288">
        <v>0.6</v>
      </c>
      <c r="U50" s="286">
        <f t="shared" si="7"/>
        <v>-1076.8241948465582</v>
      </c>
      <c r="V50" s="286">
        <f t="shared" si="7"/>
        <v>-850.0241948465582</v>
      </c>
      <c r="W50" s="286">
        <f t="shared" si="7"/>
        <v>-598.0241948465582</v>
      </c>
      <c r="X50" s="286">
        <f t="shared" si="7"/>
        <v>-346.0241948465582</v>
      </c>
      <c r="Y50" s="286">
        <f t="shared" si="7"/>
        <v>-94.024194846558203</v>
      </c>
      <c r="Z50" s="286">
        <f t="shared" si="7"/>
        <v>157.9758051534418</v>
      </c>
      <c r="AA50" s="286">
        <f t="shared" si="7"/>
        <v>409.9758051534418</v>
      </c>
      <c r="AB50" s="286">
        <f t="shared" si="7"/>
        <v>661.9758051534418</v>
      </c>
      <c r="AC50" s="286">
        <f t="shared" si="7"/>
        <v>913.9758051534418</v>
      </c>
      <c r="AD50" s="286">
        <f t="shared" si="7"/>
        <v>1165.9758051534418</v>
      </c>
      <c r="AE50" s="286">
        <f t="shared" si="7"/>
        <v>1417.9758051534418</v>
      </c>
      <c r="AG50" s="288">
        <v>0.6</v>
      </c>
      <c r="AH50" s="286">
        <f t="shared" si="5"/>
        <v>-2184.8483896931166</v>
      </c>
      <c r="AI50" s="286">
        <f t="shared" si="5"/>
        <v>-2012.0483896931164</v>
      </c>
      <c r="AJ50" s="286">
        <f t="shared" si="5"/>
        <v>-1820.0483896931164</v>
      </c>
      <c r="AK50" s="286">
        <f t="shared" si="5"/>
        <v>-1628.0483896931164</v>
      </c>
      <c r="AL50" s="286">
        <f t="shared" si="5"/>
        <v>-1436.0483896931164</v>
      </c>
      <c r="AM50" s="286">
        <f t="shared" si="5"/>
        <v>-1244.0483896931164</v>
      </c>
      <c r="AN50" s="286">
        <f t="shared" si="5"/>
        <v>-1052.0483896931164</v>
      </c>
      <c r="AO50" s="286">
        <f t="shared" si="5"/>
        <v>-860.04838969311641</v>
      </c>
      <c r="AP50" s="286">
        <f t="shared" si="5"/>
        <v>-668.04838969311641</v>
      </c>
      <c r="AQ50" s="286">
        <f t="shared" si="5"/>
        <v>-476.04838969311641</v>
      </c>
      <c r="AR50" s="286">
        <f t="shared" si="5"/>
        <v>-284.04838969311641</v>
      </c>
    </row>
    <row r="51" spans="7:48" x14ac:dyDescent="0.25">
      <c r="G51" s="288">
        <v>0.65</v>
      </c>
      <c r="H51" s="286">
        <f t="shared" si="6"/>
        <v>-2176.7483896931162</v>
      </c>
      <c r="I51" s="286">
        <f t="shared" si="6"/>
        <v>-1931.0483896931164</v>
      </c>
      <c r="J51" s="286">
        <f t="shared" si="6"/>
        <v>-1658.0483896931164</v>
      </c>
      <c r="K51" s="286">
        <f t="shared" si="6"/>
        <v>-1385.0483896931164</v>
      </c>
      <c r="L51" s="286">
        <f t="shared" si="6"/>
        <v>-1112.0483896931164</v>
      </c>
      <c r="M51" s="286">
        <f t="shared" si="6"/>
        <v>-839.04838969311641</v>
      </c>
      <c r="N51" s="286">
        <f t="shared" si="6"/>
        <v>-566.04838969311641</v>
      </c>
      <c r="O51" s="286">
        <f t="shared" si="6"/>
        <v>-293.04838969311663</v>
      </c>
      <c r="P51" s="286">
        <f t="shared" si="6"/>
        <v>-20.048389693116405</v>
      </c>
      <c r="Q51" s="286">
        <f t="shared" si="6"/>
        <v>252.95161030688405</v>
      </c>
      <c r="R51" s="286">
        <f t="shared" si="6"/>
        <v>525.95161030688359</v>
      </c>
      <c r="T51" s="288">
        <v>0.65</v>
      </c>
      <c r="U51" s="286">
        <f t="shared" si="7"/>
        <v>-1074.7241948465582</v>
      </c>
      <c r="V51" s="286">
        <f t="shared" si="7"/>
        <v>-829.0241948465582</v>
      </c>
      <c r="W51" s="286">
        <f t="shared" si="7"/>
        <v>-556.0241948465582</v>
      </c>
      <c r="X51" s="286">
        <f t="shared" si="7"/>
        <v>-283.0241948465582</v>
      </c>
      <c r="Y51" s="286">
        <f t="shared" si="7"/>
        <v>-10.024194846558203</v>
      </c>
      <c r="Z51" s="286">
        <f t="shared" si="7"/>
        <v>262.9758051534418</v>
      </c>
      <c r="AA51" s="286">
        <f t="shared" si="7"/>
        <v>535.9758051534418</v>
      </c>
      <c r="AB51" s="286">
        <f t="shared" si="7"/>
        <v>808.97580515344157</v>
      </c>
      <c r="AC51" s="286">
        <f t="shared" si="7"/>
        <v>1081.9758051534418</v>
      </c>
      <c r="AD51" s="286">
        <f t="shared" si="7"/>
        <v>1354.9758051534423</v>
      </c>
      <c r="AE51" s="286">
        <f t="shared" si="7"/>
        <v>1627.9758051534418</v>
      </c>
      <c r="AG51" s="288">
        <v>0.65</v>
      </c>
      <c r="AH51" s="286">
        <f t="shared" si="5"/>
        <v>-2183.2483896931162</v>
      </c>
      <c r="AI51" s="286">
        <f t="shared" si="5"/>
        <v>-1996.0483896931164</v>
      </c>
      <c r="AJ51" s="286">
        <f t="shared" si="5"/>
        <v>-1788.0483896931164</v>
      </c>
      <c r="AK51" s="286">
        <f t="shared" si="5"/>
        <v>-1580.0483896931164</v>
      </c>
      <c r="AL51" s="286">
        <f t="shared" si="5"/>
        <v>-1372.0483896931164</v>
      </c>
      <c r="AM51" s="286">
        <f t="shared" si="5"/>
        <v>-1164.0483896931164</v>
      </c>
      <c r="AN51" s="286">
        <f t="shared" si="5"/>
        <v>-956.04838969311641</v>
      </c>
      <c r="AO51" s="286">
        <f t="shared" si="5"/>
        <v>-748.04838969311663</v>
      </c>
      <c r="AP51" s="286">
        <f t="shared" si="5"/>
        <v>-540.04838969311641</v>
      </c>
      <c r="AQ51" s="286">
        <f t="shared" si="5"/>
        <v>-332.04838969311618</v>
      </c>
      <c r="AR51" s="286">
        <f t="shared" si="5"/>
        <v>-124.04838969311641</v>
      </c>
    </row>
    <row r="52" spans="7:48" ht="15.75" x14ac:dyDescent="0.25">
      <c r="G52" s="288">
        <v>0.7</v>
      </c>
      <c r="H52" s="286">
        <f t="shared" si="6"/>
        <v>-2174.6483896931163</v>
      </c>
      <c r="I52" s="286">
        <f t="shared" si="6"/>
        <v>-1910.0483896931164</v>
      </c>
      <c r="J52" s="286">
        <f t="shared" si="6"/>
        <v>-1616.0483896931164</v>
      </c>
      <c r="K52" s="286">
        <f t="shared" si="6"/>
        <v>-1322.0483896931164</v>
      </c>
      <c r="L52" s="286">
        <f t="shared" si="6"/>
        <v>-1028.0483896931166</v>
      </c>
      <c r="M52" s="286">
        <f t="shared" si="6"/>
        <v>-734.04838969311641</v>
      </c>
      <c r="N52" s="286">
        <f t="shared" si="6"/>
        <v>-440.04838969311641</v>
      </c>
      <c r="O52" s="286">
        <f t="shared" si="6"/>
        <v>-146.04838969311686</v>
      </c>
      <c r="P52" s="286">
        <f t="shared" si="6"/>
        <v>147.95161030688314</v>
      </c>
      <c r="Q52" s="286">
        <f t="shared" si="6"/>
        <v>441.95161030688359</v>
      </c>
      <c r="R52" s="286">
        <f t="shared" si="6"/>
        <v>735.95161030688359</v>
      </c>
      <c r="T52" s="288">
        <v>0.7</v>
      </c>
      <c r="U52" s="286">
        <f t="shared" si="7"/>
        <v>-1072.6241948465581</v>
      </c>
      <c r="V52" s="286">
        <f t="shared" si="7"/>
        <v>-808.0241948465582</v>
      </c>
      <c r="W52" s="286">
        <f t="shared" si="7"/>
        <v>-514.02419484655832</v>
      </c>
      <c r="X52" s="286">
        <f t="shared" si="7"/>
        <v>-220.0241948465582</v>
      </c>
      <c r="Y52" s="286">
        <f t="shared" si="7"/>
        <v>73.97580515344157</v>
      </c>
      <c r="Z52" s="286">
        <f t="shared" si="7"/>
        <v>367.9758051534418</v>
      </c>
      <c r="AA52" s="286">
        <f t="shared" si="7"/>
        <v>661.9758051534418</v>
      </c>
      <c r="AB52" s="286">
        <f t="shared" si="7"/>
        <v>955.97580515344134</v>
      </c>
      <c r="AC52" s="286">
        <f t="shared" si="7"/>
        <v>1249.9758051534413</v>
      </c>
      <c r="AD52" s="286">
        <f t="shared" si="7"/>
        <v>1543.9758051534418</v>
      </c>
      <c r="AE52" s="286">
        <f t="shared" si="7"/>
        <v>1837.9758051534418</v>
      </c>
      <c r="AG52" s="288">
        <v>0.7</v>
      </c>
      <c r="AH52" s="286">
        <f t="shared" si="5"/>
        <v>-2181.6483896931163</v>
      </c>
      <c r="AI52" s="286">
        <f t="shared" si="5"/>
        <v>-1980.0483896931164</v>
      </c>
      <c r="AJ52" s="286">
        <f t="shared" si="5"/>
        <v>-1756.0483896931164</v>
      </c>
      <c r="AK52" s="286">
        <f t="shared" si="5"/>
        <v>-1532.0483896931164</v>
      </c>
      <c r="AL52" s="286">
        <f t="shared" si="5"/>
        <v>-1308.0483896931164</v>
      </c>
      <c r="AM52" s="286">
        <f t="shared" si="5"/>
        <v>-1084.0483896931164</v>
      </c>
      <c r="AN52" s="286">
        <f t="shared" si="5"/>
        <v>-860.04838969311641</v>
      </c>
      <c r="AO52" s="286">
        <f t="shared" si="5"/>
        <v>-636.04838969311663</v>
      </c>
      <c r="AP52" s="286">
        <f t="shared" si="5"/>
        <v>-412.04838969311663</v>
      </c>
      <c r="AQ52" s="286">
        <f t="shared" si="5"/>
        <v>-188.04838969311641</v>
      </c>
      <c r="AR52" s="286">
        <f t="shared" si="5"/>
        <v>35.951610306883595</v>
      </c>
      <c r="AT52" s="330"/>
      <c r="AU52" s="331"/>
      <c r="AV52" s="331"/>
    </row>
    <row r="53" spans="7:48" x14ac:dyDescent="0.25">
      <c r="G53" s="288">
        <v>0.75</v>
      </c>
      <c r="H53" s="286">
        <f t="shared" si="6"/>
        <v>-2172.5483896931164</v>
      </c>
      <c r="I53" s="286">
        <f t="shared" si="6"/>
        <v>-1889.0483896931164</v>
      </c>
      <c r="J53" s="286">
        <f t="shared" si="6"/>
        <v>-1574.0483896931164</v>
      </c>
      <c r="K53" s="286">
        <f t="shared" si="6"/>
        <v>-1259.0483896931164</v>
      </c>
      <c r="L53" s="286">
        <f t="shared" si="6"/>
        <v>-944.04838969311618</v>
      </c>
      <c r="M53" s="286">
        <f t="shared" si="6"/>
        <v>-629.04838969311641</v>
      </c>
      <c r="N53" s="286">
        <f t="shared" si="6"/>
        <v>-314.04838969311663</v>
      </c>
      <c r="O53" s="286">
        <f t="shared" si="6"/>
        <v>0.95161030688313986</v>
      </c>
      <c r="P53" s="286">
        <f t="shared" si="6"/>
        <v>315.95161030688405</v>
      </c>
      <c r="Q53" s="286">
        <f t="shared" si="6"/>
        <v>630.95161030688359</v>
      </c>
      <c r="R53" s="286">
        <f t="shared" si="6"/>
        <v>945.95161030688359</v>
      </c>
      <c r="T53" s="288">
        <v>0.75</v>
      </c>
      <c r="U53" s="286">
        <f t="shared" si="7"/>
        <v>-1070.5241948465582</v>
      </c>
      <c r="V53" s="286">
        <f t="shared" si="7"/>
        <v>-787.0241948465582</v>
      </c>
      <c r="W53" s="286">
        <f t="shared" si="7"/>
        <v>-472.02419484655809</v>
      </c>
      <c r="X53" s="286">
        <f t="shared" si="7"/>
        <v>-157.02419484655832</v>
      </c>
      <c r="Y53" s="286">
        <f t="shared" si="7"/>
        <v>157.97580515344202</v>
      </c>
      <c r="Z53" s="286">
        <f t="shared" si="7"/>
        <v>472.9758051534418</v>
      </c>
      <c r="AA53" s="286">
        <f t="shared" si="7"/>
        <v>787.97580515344157</v>
      </c>
      <c r="AB53" s="286">
        <f t="shared" si="7"/>
        <v>1102.9758051534413</v>
      </c>
      <c r="AC53" s="286">
        <f t="shared" si="7"/>
        <v>1417.9758051534423</v>
      </c>
      <c r="AD53" s="286">
        <f t="shared" si="7"/>
        <v>1732.9758051534418</v>
      </c>
      <c r="AE53" s="286">
        <f t="shared" si="7"/>
        <v>2047.9758051534418</v>
      </c>
      <c r="AG53" s="288">
        <v>0.75</v>
      </c>
      <c r="AH53" s="286">
        <f t="shared" si="5"/>
        <v>-2180.0483896931164</v>
      </c>
      <c r="AI53" s="286">
        <f t="shared" si="5"/>
        <v>-1964.0483896931164</v>
      </c>
      <c r="AJ53" s="286">
        <f t="shared" si="5"/>
        <v>-1724.0483896931164</v>
      </c>
      <c r="AK53" s="286">
        <f t="shared" si="5"/>
        <v>-1484.0483896931164</v>
      </c>
      <c r="AL53" s="286">
        <f t="shared" si="5"/>
        <v>-1244.0483896931164</v>
      </c>
      <c r="AM53" s="286">
        <f t="shared" si="5"/>
        <v>-1004.0483896931164</v>
      </c>
      <c r="AN53" s="286">
        <f t="shared" si="5"/>
        <v>-764.04838969311663</v>
      </c>
      <c r="AO53" s="286">
        <f t="shared" si="5"/>
        <v>-524.04838969311663</v>
      </c>
      <c r="AP53" s="286">
        <f t="shared" si="5"/>
        <v>-284.04838969311618</v>
      </c>
      <c r="AQ53" s="286">
        <f t="shared" si="5"/>
        <v>-44.048389693116405</v>
      </c>
      <c r="AR53" s="286">
        <f t="shared" si="5"/>
        <v>195.95161030688359</v>
      </c>
      <c r="AT53" s="318"/>
    </row>
    <row r="54" spans="7:48" ht="14.45" customHeight="1" x14ac:dyDescent="0.25">
      <c r="G54" s="288">
        <v>0.8</v>
      </c>
      <c r="H54" s="286">
        <f t="shared" si="6"/>
        <v>-2170.4483896931165</v>
      </c>
      <c r="I54" s="286">
        <f t="shared" si="6"/>
        <v>-1868.0483896931164</v>
      </c>
      <c r="J54" s="286">
        <f t="shared" si="6"/>
        <v>-1532.0483896931164</v>
      </c>
      <c r="K54" s="286">
        <f t="shared" si="6"/>
        <v>-1196.0483896931164</v>
      </c>
      <c r="L54" s="286">
        <f t="shared" si="6"/>
        <v>-860.04838969311618</v>
      </c>
      <c r="M54" s="286">
        <f t="shared" si="6"/>
        <v>-524.04838969311641</v>
      </c>
      <c r="N54" s="286">
        <f t="shared" si="6"/>
        <v>-188.04838969311641</v>
      </c>
      <c r="O54" s="286">
        <f t="shared" si="6"/>
        <v>147.95161030688314</v>
      </c>
      <c r="P54" s="286">
        <f t="shared" si="6"/>
        <v>483.95161030688405</v>
      </c>
      <c r="Q54" s="286">
        <f t="shared" si="6"/>
        <v>819.95161030688405</v>
      </c>
      <c r="R54" s="286">
        <f t="shared" si="6"/>
        <v>1155.9516103068836</v>
      </c>
      <c r="T54" s="288">
        <v>0.8</v>
      </c>
      <c r="U54" s="286">
        <f t="shared" si="7"/>
        <v>-1068.4241948465583</v>
      </c>
      <c r="V54" s="286">
        <f t="shared" si="7"/>
        <v>-766.0241948465582</v>
      </c>
      <c r="W54" s="286">
        <f t="shared" si="7"/>
        <v>-430.02419484655809</v>
      </c>
      <c r="X54" s="286">
        <f t="shared" si="7"/>
        <v>-94.024194846558203</v>
      </c>
      <c r="Y54" s="286">
        <f t="shared" si="7"/>
        <v>241.97580515344202</v>
      </c>
      <c r="Z54" s="286">
        <f t="shared" si="7"/>
        <v>577.9758051534418</v>
      </c>
      <c r="AA54" s="286">
        <f t="shared" si="7"/>
        <v>913.9758051534418</v>
      </c>
      <c r="AB54" s="286">
        <f t="shared" si="7"/>
        <v>1249.9758051534413</v>
      </c>
      <c r="AC54" s="286">
        <f t="shared" si="7"/>
        <v>1585.9758051534423</v>
      </c>
      <c r="AD54" s="286">
        <f t="shared" si="7"/>
        <v>1921.9758051534423</v>
      </c>
      <c r="AE54" s="286">
        <f t="shared" si="7"/>
        <v>2257.9758051534418</v>
      </c>
      <c r="AG54" s="288">
        <v>0.8</v>
      </c>
      <c r="AH54" s="286">
        <f t="shared" si="5"/>
        <v>-2178.4483896931165</v>
      </c>
      <c r="AI54" s="286">
        <f t="shared" si="5"/>
        <v>-1948.0483896931164</v>
      </c>
      <c r="AJ54" s="286">
        <f t="shared" si="5"/>
        <v>-1692.0483896931164</v>
      </c>
      <c r="AK54" s="286">
        <f t="shared" si="5"/>
        <v>-1436.0483896931164</v>
      </c>
      <c r="AL54" s="286">
        <f t="shared" si="5"/>
        <v>-1180.0483896931162</v>
      </c>
      <c r="AM54" s="286">
        <f t="shared" si="5"/>
        <v>-924.04838969311641</v>
      </c>
      <c r="AN54" s="286">
        <f t="shared" si="5"/>
        <v>-668.04838969311641</v>
      </c>
      <c r="AO54" s="286">
        <f t="shared" si="5"/>
        <v>-412.04838969311663</v>
      </c>
      <c r="AP54" s="286">
        <f t="shared" si="5"/>
        <v>-156.04838969311595</v>
      </c>
      <c r="AQ54" s="286">
        <f t="shared" si="5"/>
        <v>99.951610306884049</v>
      </c>
      <c r="AR54" s="286">
        <f t="shared" si="5"/>
        <v>355.95161030688359</v>
      </c>
      <c r="AT54" s="319"/>
      <c r="AU54" s="56"/>
    </row>
    <row r="55" spans="7:48" ht="14.45" customHeight="1" x14ac:dyDescent="0.25">
      <c r="G55" s="288">
        <v>0.85</v>
      </c>
      <c r="H55" s="286">
        <f t="shared" si="6"/>
        <v>-2168.3483896931166</v>
      </c>
      <c r="I55" s="286">
        <f t="shared" si="6"/>
        <v>-1847.0483896931164</v>
      </c>
      <c r="J55" s="286">
        <f t="shared" si="6"/>
        <v>-1490.0483896931164</v>
      </c>
      <c r="K55" s="286">
        <f t="shared" si="6"/>
        <v>-1133.0483896931164</v>
      </c>
      <c r="L55" s="286">
        <f t="shared" si="6"/>
        <v>-776.04838969311641</v>
      </c>
      <c r="M55" s="286">
        <f t="shared" si="6"/>
        <v>-419.04838969311641</v>
      </c>
      <c r="N55" s="286">
        <f t="shared" si="6"/>
        <v>-62.048389693116405</v>
      </c>
      <c r="O55" s="286">
        <f t="shared" si="6"/>
        <v>294.95161030688359</v>
      </c>
      <c r="P55" s="286">
        <f t="shared" si="6"/>
        <v>651.95161030688359</v>
      </c>
      <c r="Q55" s="286">
        <f t="shared" si="6"/>
        <v>1008.9516103068836</v>
      </c>
      <c r="R55" s="286">
        <f t="shared" si="6"/>
        <v>1365.9516103068836</v>
      </c>
      <c r="T55" s="288">
        <v>0.85</v>
      </c>
      <c r="U55" s="286">
        <f t="shared" si="7"/>
        <v>-1066.3241948465582</v>
      </c>
      <c r="V55" s="286">
        <f t="shared" si="7"/>
        <v>-745.0241948465582</v>
      </c>
      <c r="W55" s="286">
        <f t="shared" si="7"/>
        <v>-388.0241948465582</v>
      </c>
      <c r="X55" s="286">
        <f t="shared" si="7"/>
        <v>-31.024194846558203</v>
      </c>
      <c r="Y55" s="286">
        <f t="shared" si="7"/>
        <v>325.9758051534418</v>
      </c>
      <c r="Z55" s="286">
        <f t="shared" si="7"/>
        <v>682.9758051534418</v>
      </c>
      <c r="AA55" s="286">
        <f t="shared" si="7"/>
        <v>1039.9758051534418</v>
      </c>
      <c r="AB55" s="286">
        <f t="shared" si="7"/>
        <v>1396.9758051534418</v>
      </c>
      <c r="AC55" s="286">
        <f t="shared" si="7"/>
        <v>1753.9758051534418</v>
      </c>
      <c r="AD55" s="286">
        <f t="shared" si="7"/>
        <v>2110.9758051534418</v>
      </c>
      <c r="AE55" s="286">
        <f t="shared" si="7"/>
        <v>2467.9758051534418</v>
      </c>
      <c r="AG55" s="288">
        <v>0.85</v>
      </c>
      <c r="AH55" s="286">
        <f t="shared" si="5"/>
        <v>-2176.8483896931166</v>
      </c>
      <c r="AI55" s="286">
        <f t="shared" si="5"/>
        <v>-1932.0483896931164</v>
      </c>
      <c r="AJ55" s="286">
        <f t="shared" si="5"/>
        <v>-1660.0483896931164</v>
      </c>
      <c r="AK55" s="286">
        <f t="shared" si="5"/>
        <v>-1388.0483896931164</v>
      </c>
      <c r="AL55" s="286">
        <f t="shared" si="5"/>
        <v>-1116.0483896931164</v>
      </c>
      <c r="AM55" s="286">
        <f t="shared" si="5"/>
        <v>-844.04838969311641</v>
      </c>
      <c r="AN55" s="286">
        <f t="shared" si="5"/>
        <v>-572.04838969311641</v>
      </c>
      <c r="AO55" s="286">
        <f t="shared" si="5"/>
        <v>-300.04838969311641</v>
      </c>
      <c r="AP55" s="286">
        <f t="shared" si="5"/>
        <v>-28.048389693116405</v>
      </c>
      <c r="AQ55" s="286">
        <f t="shared" si="5"/>
        <v>243.95161030688359</v>
      </c>
      <c r="AR55" s="286">
        <f t="shared" si="5"/>
        <v>515.95161030688359</v>
      </c>
      <c r="AT55" s="320"/>
      <c r="AU55" s="56"/>
    </row>
    <row r="56" spans="7:48" ht="14.45" customHeight="1" x14ac:dyDescent="0.25">
      <c r="G56" s="288">
        <v>0.9</v>
      </c>
      <c r="H56" s="286">
        <f t="shared" si="6"/>
        <v>-2166.2483896931162</v>
      </c>
      <c r="I56" s="286">
        <f t="shared" si="6"/>
        <v>-1826.0483896931164</v>
      </c>
      <c r="J56" s="286">
        <f t="shared" si="6"/>
        <v>-1448.0483896931164</v>
      </c>
      <c r="K56" s="286">
        <f t="shared" si="6"/>
        <v>-1070.0483896931164</v>
      </c>
      <c r="L56" s="286">
        <f t="shared" si="6"/>
        <v>-692.04838969311618</v>
      </c>
      <c r="M56" s="286">
        <f t="shared" si="6"/>
        <v>-314.04838969311641</v>
      </c>
      <c r="N56" s="286">
        <f t="shared" si="6"/>
        <v>63.951610306883595</v>
      </c>
      <c r="O56" s="286">
        <f t="shared" si="6"/>
        <v>441.95161030688359</v>
      </c>
      <c r="P56" s="286">
        <f t="shared" si="6"/>
        <v>819.95161030688405</v>
      </c>
      <c r="Q56" s="286">
        <f t="shared" si="6"/>
        <v>1197.9516103068836</v>
      </c>
      <c r="R56" s="286">
        <f t="shared" si="6"/>
        <v>1575.9516103068836</v>
      </c>
      <c r="T56" s="288">
        <v>0.9</v>
      </c>
      <c r="U56" s="286">
        <f t="shared" si="7"/>
        <v>-1064.2241948465582</v>
      </c>
      <c r="V56" s="286">
        <f t="shared" si="7"/>
        <v>-724.0241948465582</v>
      </c>
      <c r="W56" s="286">
        <f t="shared" si="7"/>
        <v>-346.02419484655809</v>
      </c>
      <c r="X56" s="286">
        <f t="shared" si="7"/>
        <v>31.975805153441797</v>
      </c>
      <c r="Y56" s="286">
        <f t="shared" si="7"/>
        <v>409.97580515344202</v>
      </c>
      <c r="Z56" s="286">
        <f t="shared" si="7"/>
        <v>787.9758051534418</v>
      </c>
      <c r="AA56" s="286">
        <f t="shared" si="7"/>
        <v>1165.9758051534418</v>
      </c>
      <c r="AB56" s="286">
        <f t="shared" si="7"/>
        <v>1543.9758051534418</v>
      </c>
      <c r="AC56" s="286">
        <f t="shared" si="7"/>
        <v>1921.9758051534423</v>
      </c>
      <c r="AD56" s="286">
        <f t="shared" si="7"/>
        <v>2299.9758051534418</v>
      </c>
      <c r="AE56" s="286">
        <f t="shared" si="7"/>
        <v>2677.9758051534418</v>
      </c>
      <c r="AG56" s="288">
        <v>0.9</v>
      </c>
      <c r="AH56" s="286">
        <f t="shared" si="5"/>
        <v>-2175.2483896931162</v>
      </c>
      <c r="AI56" s="286">
        <f t="shared" si="5"/>
        <v>-1916.0483896931164</v>
      </c>
      <c r="AJ56" s="286">
        <f t="shared" si="5"/>
        <v>-1628.0483896931164</v>
      </c>
      <c r="AK56" s="286">
        <f t="shared" si="5"/>
        <v>-1340.0483896931164</v>
      </c>
      <c r="AL56" s="286">
        <f t="shared" si="5"/>
        <v>-1052.0483896931162</v>
      </c>
      <c r="AM56" s="286">
        <f t="shared" si="5"/>
        <v>-764.04838969311641</v>
      </c>
      <c r="AN56" s="286">
        <f t="shared" si="5"/>
        <v>-476.04838969311641</v>
      </c>
      <c r="AO56" s="286">
        <f t="shared" si="5"/>
        <v>-188.04838969311641</v>
      </c>
      <c r="AP56" s="286">
        <f t="shared" si="5"/>
        <v>99.951610306884049</v>
      </c>
      <c r="AQ56" s="286">
        <f t="shared" si="5"/>
        <v>387.95161030688359</v>
      </c>
      <c r="AR56" s="286">
        <f t="shared" si="5"/>
        <v>675.95161030688359</v>
      </c>
      <c r="AT56" s="315"/>
      <c r="AU56" s="315"/>
    </row>
    <row r="57" spans="7:48" x14ac:dyDescent="0.25">
      <c r="G57" s="288">
        <v>0.95</v>
      </c>
      <c r="H57" s="286">
        <f t="shared" si="6"/>
        <v>-2164.1483896931163</v>
      </c>
      <c r="I57" s="286">
        <f t="shared" si="6"/>
        <v>-1805.0483896931164</v>
      </c>
      <c r="J57" s="286">
        <f t="shared" si="6"/>
        <v>-1406.0483896931164</v>
      </c>
      <c r="K57" s="286">
        <f t="shared" si="6"/>
        <v>-1007.0483896931164</v>
      </c>
      <c r="L57" s="286">
        <f t="shared" si="6"/>
        <v>-608.04838969311641</v>
      </c>
      <c r="M57" s="286">
        <f t="shared" si="6"/>
        <v>-209.04838969311641</v>
      </c>
      <c r="N57" s="286">
        <f t="shared" si="6"/>
        <v>189.95161030688359</v>
      </c>
      <c r="O57" s="286">
        <f t="shared" si="6"/>
        <v>588.95161030688314</v>
      </c>
      <c r="P57" s="286">
        <f t="shared" si="6"/>
        <v>987.95161030688359</v>
      </c>
      <c r="Q57" s="286">
        <f t="shared" si="6"/>
        <v>1386.9516103068836</v>
      </c>
      <c r="R57" s="286">
        <f t="shared" si="6"/>
        <v>1785.9516103068836</v>
      </c>
      <c r="T57" s="288">
        <v>0.95</v>
      </c>
      <c r="U57" s="286">
        <f t="shared" si="7"/>
        <v>-1062.1241948465581</v>
      </c>
      <c r="V57" s="286">
        <f t="shared" si="7"/>
        <v>-703.0241948465582</v>
      </c>
      <c r="W57" s="286">
        <f t="shared" si="7"/>
        <v>-304.0241948465582</v>
      </c>
      <c r="X57" s="286">
        <f t="shared" si="7"/>
        <v>94.975805153441797</v>
      </c>
      <c r="Y57" s="286">
        <f t="shared" si="7"/>
        <v>493.9758051534418</v>
      </c>
      <c r="Z57" s="286">
        <f t="shared" si="7"/>
        <v>892.9758051534418</v>
      </c>
      <c r="AA57" s="286">
        <f t="shared" si="7"/>
        <v>1291.9758051534418</v>
      </c>
      <c r="AB57" s="286">
        <f t="shared" si="7"/>
        <v>1690.9758051534413</v>
      </c>
      <c r="AC57" s="286">
        <f t="shared" si="7"/>
        <v>2089.9758051534418</v>
      </c>
      <c r="AD57" s="286">
        <f t="shared" si="7"/>
        <v>2488.9758051534418</v>
      </c>
      <c r="AE57" s="286">
        <f t="shared" si="7"/>
        <v>2887.9758051534418</v>
      </c>
      <c r="AG57" s="288">
        <v>0.95</v>
      </c>
      <c r="AH57" s="286">
        <f t="shared" si="5"/>
        <v>-2173.6483896931163</v>
      </c>
      <c r="AI57" s="286">
        <f t="shared" si="5"/>
        <v>-1900.0483896931164</v>
      </c>
      <c r="AJ57" s="286">
        <f t="shared" si="5"/>
        <v>-1596.0483896931164</v>
      </c>
      <c r="AK57" s="286">
        <f t="shared" si="5"/>
        <v>-1292.0483896931164</v>
      </c>
      <c r="AL57" s="286">
        <f t="shared" si="5"/>
        <v>-988.04838969311641</v>
      </c>
      <c r="AM57" s="286">
        <f t="shared" si="5"/>
        <v>-684.04838969311641</v>
      </c>
      <c r="AN57" s="286">
        <f t="shared" si="5"/>
        <v>-380.04838969311663</v>
      </c>
      <c r="AO57" s="286">
        <f t="shared" si="5"/>
        <v>-76.04838969311686</v>
      </c>
      <c r="AP57" s="286">
        <f t="shared" si="5"/>
        <v>227.95161030688359</v>
      </c>
      <c r="AQ57" s="286">
        <f t="shared" si="5"/>
        <v>531.95161030688359</v>
      </c>
      <c r="AR57" s="286">
        <f t="shared" si="5"/>
        <v>835.95161030688359</v>
      </c>
    </row>
    <row r="58" spans="7:48" ht="15.75" thickBot="1" x14ac:dyDescent="0.3">
      <c r="G58" s="287">
        <v>1</v>
      </c>
      <c r="H58" s="286">
        <f t="shared" si="6"/>
        <v>-2162.0483896931164</v>
      </c>
      <c r="I58" s="286">
        <f t="shared" si="6"/>
        <v>-1784.0483896931164</v>
      </c>
      <c r="J58" s="286">
        <f t="shared" si="6"/>
        <v>-1364.0483896931164</v>
      </c>
      <c r="K58" s="286">
        <f t="shared" si="6"/>
        <v>-944.04838969311641</v>
      </c>
      <c r="L58" s="286">
        <f t="shared" si="6"/>
        <v>-524.04838969311641</v>
      </c>
      <c r="M58" s="286">
        <f t="shared" si="6"/>
        <v>-104.04838969311641</v>
      </c>
      <c r="N58" s="286">
        <f t="shared" si="6"/>
        <v>315.95161030688359</v>
      </c>
      <c r="O58" s="286">
        <f t="shared" si="6"/>
        <v>735.95161030688359</v>
      </c>
      <c r="P58" s="286">
        <f t="shared" si="6"/>
        <v>1155.9516103068836</v>
      </c>
      <c r="Q58" s="286">
        <f t="shared" si="6"/>
        <v>1575.9516103068836</v>
      </c>
      <c r="R58" s="286">
        <f t="shared" si="6"/>
        <v>1995.9516103068836</v>
      </c>
      <c r="T58" s="287">
        <v>1</v>
      </c>
      <c r="U58" s="286">
        <f t="shared" si="7"/>
        <v>-1060.0241948465582</v>
      </c>
      <c r="V58" s="286">
        <f t="shared" si="7"/>
        <v>-682.0241948465582</v>
      </c>
      <c r="W58" s="286">
        <f t="shared" si="7"/>
        <v>-262.0241948465582</v>
      </c>
      <c r="X58" s="286">
        <f t="shared" si="7"/>
        <v>157.9758051534418</v>
      </c>
      <c r="Y58" s="286">
        <f t="shared" si="7"/>
        <v>577.9758051534418</v>
      </c>
      <c r="Z58" s="286">
        <f t="shared" si="7"/>
        <v>997.9758051534418</v>
      </c>
      <c r="AA58" s="286">
        <f t="shared" si="7"/>
        <v>1417.9758051534418</v>
      </c>
      <c r="AB58" s="286">
        <f t="shared" si="7"/>
        <v>1837.9758051534418</v>
      </c>
      <c r="AC58" s="286">
        <f t="shared" si="7"/>
        <v>2257.9758051534418</v>
      </c>
      <c r="AD58" s="286">
        <f t="shared" si="7"/>
        <v>2677.9758051534418</v>
      </c>
      <c r="AE58" s="286">
        <f t="shared" si="7"/>
        <v>3097.9758051534418</v>
      </c>
      <c r="AG58" s="287">
        <v>1</v>
      </c>
      <c r="AH58" s="286">
        <f t="shared" si="5"/>
        <v>-2172.0483896931164</v>
      </c>
      <c r="AI58" s="286">
        <f t="shared" si="5"/>
        <v>-1884.0483896931164</v>
      </c>
      <c r="AJ58" s="286">
        <f t="shared" si="5"/>
        <v>-1564.0483896931164</v>
      </c>
      <c r="AK58" s="286">
        <f t="shared" si="5"/>
        <v>-1244.0483896931164</v>
      </c>
      <c r="AL58" s="286">
        <f t="shared" si="5"/>
        <v>-924.04838969311641</v>
      </c>
      <c r="AM58" s="286">
        <f t="shared" si="5"/>
        <v>-604.04838969311641</v>
      </c>
      <c r="AN58" s="286">
        <f t="shared" si="5"/>
        <v>-284.04838969311641</v>
      </c>
      <c r="AO58" s="286">
        <f t="shared" si="5"/>
        <v>35.951610306883595</v>
      </c>
      <c r="AP58" s="286">
        <f t="shared" si="5"/>
        <v>355.95161030688359</v>
      </c>
      <c r="AQ58" s="286">
        <f t="shared" si="5"/>
        <v>675.95161030688359</v>
      </c>
      <c r="AR58" s="286">
        <f t="shared" si="5"/>
        <v>995.95161030688359</v>
      </c>
    </row>
    <row r="61" spans="7:48" ht="14.45" customHeight="1" x14ac:dyDescent="0.25"/>
    <row r="62" spans="7:48" ht="14.45" customHeight="1" x14ac:dyDescent="0.25">
      <c r="G62" s="340" t="s">
        <v>290</v>
      </c>
      <c r="H62" s="340"/>
      <c r="I62" s="340"/>
      <c r="J62" s="340"/>
      <c r="K62" s="340"/>
      <c r="L62" s="340"/>
      <c r="M62" s="340"/>
      <c r="N62" s="340"/>
      <c r="O62" s="340"/>
      <c r="P62" s="340"/>
      <c r="Q62" s="340"/>
      <c r="R62" s="340"/>
      <c r="T62" s="340" t="str">
        <f>CONCATENATE("Electrified Night Penning", TEXT($C$32," (0%")," Subsidy)")</f>
        <v>Electrified Night Penning (50% Subsidy)</v>
      </c>
      <c r="U62" s="340"/>
      <c r="V62" s="340"/>
      <c r="W62" s="340"/>
      <c r="X62" s="340"/>
      <c r="Y62" s="340"/>
      <c r="Z62" s="340"/>
      <c r="AA62" s="340"/>
      <c r="AB62" s="340"/>
      <c r="AC62" s="340"/>
      <c r="AD62" s="340"/>
      <c r="AE62" s="340"/>
      <c r="AG62" s="340" t="str">
        <f>CONCATENATE("Electrified Night Penning", TEXT($C$33," (0%")," Livestock Compensation)")</f>
        <v>Electrified Night Penning (25% Livestock Compensation)</v>
      </c>
      <c r="AH62" s="340"/>
      <c r="AI62" s="340"/>
      <c r="AJ62" s="340"/>
      <c r="AK62" s="340"/>
      <c r="AL62" s="340"/>
      <c r="AM62" s="340"/>
      <c r="AN62" s="340"/>
      <c r="AO62" s="340"/>
      <c r="AP62" s="340"/>
      <c r="AQ62" s="340"/>
      <c r="AR62" s="340"/>
    </row>
    <row r="63" spans="7:48" ht="14.65" customHeight="1" thickBot="1" x14ac:dyDescent="0.3">
      <c r="G63" s="344"/>
      <c r="H63" s="344"/>
      <c r="I63" s="344"/>
      <c r="J63" s="344"/>
      <c r="K63" s="344"/>
      <c r="L63" s="344"/>
      <c r="M63" s="344"/>
      <c r="N63" s="344"/>
      <c r="O63" s="344"/>
      <c r="P63" s="344"/>
      <c r="Q63" s="344"/>
      <c r="R63" s="344"/>
      <c r="T63" s="344"/>
      <c r="U63" s="344"/>
      <c r="V63" s="344"/>
      <c r="W63" s="344"/>
      <c r="X63" s="344"/>
      <c r="Y63" s="344"/>
      <c r="Z63" s="344"/>
      <c r="AA63" s="344"/>
      <c r="AB63" s="344"/>
      <c r="AC63" s="344"/>
      <c r="AD63" s="344"/>
      <c r="AE63" s="344"/>
      <c r="AG63" s="344"/>
      <c r="AH63" s="344"/>
      <c r="AI63" s="344"/>
      <c r="AJ63" s="344"/>
      <c r="AK63" s="344"/>
      <c r="AL63" s="344"/>
      <c r="AM63" s="344"/>
      <c r="AN63" s="344"/>
      <c r="AO63" s="344"/>
      <c r="AP63" s="344"/>
      <c r="AQ63" s="344"/>
      <c r="AR63" s="344"/>
    </row>
    <row r="64" spans="7:48" ht="15.75" thickBot="1" x14ac:dyDescent="0.3">
      <c r="G64" s="292" t="s">
        <v>282</v>
      </c>
      <c r="H64" s="291">
        <v>0.01</v>
      </c>
      <c r="I64" s="291">
        <v>0.1</v>
      </c>
      <c r="J64" s="291">
        <v>0.2</v>
      </c>
      <c r="K64" s="291">
        <v>0.3</v>
      </c>
      <c r="L64" s="291">
        <v>0.4</v>
      </c>
      <c r="M64" s="291">
        <v>0.5</v>
      </c>
      <c r="N64" s="291">
        <v>0.6</v>
      </c>
      <c r="O64" s="291">
        <v>0.7</v>
      </c>
      <c r="P64" s="291">
        <v>0.8</v>
      </c>
      <c r="Q64" s="291">
        <v>0.9</v>
      </c>
      <c r="R64" s="290">
        <v>1</v>
      </c>
      <c r="T64" s="292" t="s">
        <v>282</v>
      </c>
      <c r="U64" s="291">
        <v>0.01</v>
      </c>
      <c r="V64" s="291">
        <v>0.1</v>
      </c>
      <c r="W64" s="291">
        <v>0.2</v>
      </c>
      <c r="X64" s="291">
        <v>0.3</v>
      </c>
      <c r="Y64" s="291">
        <v>0.4</v>
      </c>
      <c r="Z64" s="291">
        <v>0.5</v>
      </c>
      <c r="AA64" s="291">
        <v>0.6</v>
      </c>
      <c r="AB64" s="291">
        <v>0.7</v>
      </c>
      <c r="AC64" s="291">
        <v>0.8</v>
      </c>
      <c r="AD64" s="291">
        <v>0.9</v>
      </c>
      <c r="AE64" s="290">
        <v>1</v>
      </c>
      <c r="AG64" s="292" t="s">
        <v>282</v>
      </c>
      <c r="AH64" s="291">
        <v>0.01</v>
      </c>
      <c r="AI64" s="291">
        <v>0.1</v>
      </c>
      <c r="AJ64" s="291">
        <v>0.2</v>
      </c>
      <c r="AK64" s="291">
        <v>0.3</v>
      </c>
      <c r="AL64" s="291">
        <v>0.4</v>
      </c>
      <c r="AM64" s="291">
        <v>0.5</v>
      </c>
      <c r="AN64" s="291">
        <v>0.6</v>
      </c>
      <c r="AO64" s="291">
        <v>0.7</v>
      </c>
      <c r="AP64" s="291">
        <v>0.8</v>
      </c>
      <c r="AQ64" s="291">
        <v>0.9</v>
      </c>
      <c r="AR64" s="290">
        <v>1</v>
      </c>
    </row>
    <row r="65" spans="7:44" ht="30" x14ac:dyDescent="0.25">
      <c r="G65" s="289" t="s">
        <v>281</v>
      </c>
      <c r="T65" s="289" t="s">
        <v>281</v>
      </c>
      <c r="AG65" s="289" t="s">
        <v>281</v>
      </c>
    </row>
    <row r="66" spans="7:44" x14ac:dyDescent="0.25">
      <c r="G66" s="288">
        <v>0</v>
      </c>
      <c r="H66" s="286">
        <f t="shared" ref="H66:R75" si="8">(((H$64*$G66)*($C$22+$C$23))-($C$26-($C$26*$C$31)))</f>
        <v>-619.9320840193709</v>
      </c>
      <c r="I66" s="286">
        <f t="shared" si="8"/>
        <v>-619.9320840193709</v>
      </c>
      <c r="J66" s="286">
        <f t="shared" si="8"/>
        <v>-619.9320840193709</v>
      </c>
      <c r="K66" s="286">
        <f t="shared" si="8"/>
        <v>-619.9320840193709</v>
      </c>
      <c r="L66" s="286">
        <f t="shared" si="8"/>
        <v>-619.9320840193709</v>
      </c>
      <c r="M66" s="286">
        <f t="shared" si="8"/>
        <v>-619.9320840193709</v>
      </c>
      <c r="N66" s="286">
        <f t="shared" si="8"/>
        <v>-619.9320840193709</v>
      </c>
      <c r="O66" s="286">
        <f t="shared" si="8"/>
        <v>-619.9320840193709</v>
      </c>
      <c r="P66" s="286">
        <f t="shared" si="8"/>
        <v>-619.9320840193709</v>
      </c>
      <c r="Q66" s="286">
        <f t="shared" si="8"/>
        <v>-619.9320840193709</v>
      </c>
      <c r="R66" s="286">
        <f t="shared" si="8"/>
        <v>-619.9320840193709</v>
      </c>
      <c r="T66" s="288">
        <v>0</v>
      </c>
      <c r="U66" s="286">
        <f t="shared" ref="U66:AE75" si="9">(((U$64*$T66)*($C$22+$C$23))-($C$26-($C$26*$C$32)))</f>
        <v>-309.96604200968545</v>
      </c>
      <c r="V66" s="286">
        <f t="shared" si="9"/>
        <v>-309.96604200968545</v>
      </c>
      <c r="W66" s="286">
        <f t="shared" si="9"/>
        <v>-309.96604200968545</v>
      </c>
      <c r="X66" s="286">
        <f t="shared" si="9"/>
        <v>-309.96604200968545</v>
      </c>
      <c r="Y66" s="286">
        <f t="shared" si="9"/>
        <v>-309.96604200968545</v>
      </c>
      <c r="Z66" s="286">
        <f t="shared" si="9"/>
        <v>-309.96604200968545</v>
      </c>
      <c r="AA66" s="286">
        <f t="shared" si="9"/>
        <v>-309.96604200968545</v>
      </c>
      <c r="AB66" s="286">
        <f t="shared" si="9"/>
        <v>-309.96604200968545</v>
      </c>
      <c r="AC66" s="286">
        <f t="shared" si="9"/>
        <v>-309.96604200968545</v>
      </c>
      <c r="AD66" s="286">
        <f t="shared" si="9"/>
        <v>-309.96604200968545</v>
      </c>
      <c r="AE66" s="286">
        <f t="shared" si="9"/>
        <v>-309.96604200968545</v>
      </c>
      <c r="AG66" s="288">
        <v>0</v>
      </c>
      <c r="AH66" s="286">
        <f>(((AH$64*$AG66)*((1-$C$33)*$C$22+$C$23))-($C$26-($C$26*$C$31)))</f>
        <v>-619.9320840193709</v>
      </c>
      <c r="AI66" s="286">
        <f t="shared" ref="AI66:AR66" si="10">(((AI$64*$AG66)*((1-$C$33)*$C$22+$C$23))-($C$26-($C$26*$C$31)))</f>
        <v>-619.9320840193709</v>
      </c>
      <c r="AJ66" s="286">
        <f t="shared" si="10"/>
        <v>-619.9320840193709</v>
      </c>
      <c r="AK66" s="286">
        <f t="shared" si="10"/>
        <v>-619.9320840193709</v>
      </c>
      <c r="AL66" s="286">
        <f t="shared" si="10"/>
        <v>-619.9320840193709</v>
      </c>
      <c r="AM66" s="286">
        <f t="shared" si="10"/>
        <v>-619.9320840193709</v>
      </c>
      <c r="AN66" s="286">
        <f t="shared" si="10"/>
        <v>-619.9320840193709</v>
      </c>
      <c r="AO66" s="286">
        <f t="shared" si="10"/>
        <v>-619.9320840193709</v>
      </c>
      <c r="AP66" s="286">
        <f t="shared" si="10"/>
        <v>-619.9320840193709</v>
      </c>
      <c r="AQ66" s="286">
        <f t="shared" si="10"/>
        <v>-619.9320840193709</v>
      </c>
      <c r="AR66" s="286">
        <f t="shared" si="10"/>
        <v>-619.9320840193709</v>
      </c>
    </row>
    <row r="67" spans="7:44" hidden="1" outlineLevel="2" x14ac:dyDescent="0.25">
      <c r="G67" s="288">
        <v>0.05</v>
      </c>
      <c r="H67" s="286">
        <f t="shared" si="8"/>
        <v>-619.53208401937093</v>
      </c>
      <c r="I67" s="286">
        <f t="shared" si="8"/>
        <v>-615.9320840193709</v>
      </c>
      <c r="J67" s="286">
        <f t="shared" si="8"/>
        <v>-611.9320840193709</v>
      </c>
      <c r="K67" s="286">
        <f t="shared" si="8"/>
        <v>-607.9320840193709</v>
      </c>
      <c r="L67" s="286">
        <f t="shared" si="8"/>
        <v>-603.9320840193709</v>
      </c>
      <c r="M67" s="286">
        <f t="shared" si="8"/>
        <v>-599.9320840193709</v>
      </c>
      <c r="N67" s="286">
        <f t="shared" si="8"/>
        <v>-595.9320840193709</v>
      </c>
      <c r="O67" s="286">
        <f t="shared" si="8"/>
        <v>-591.9320840193709</v>
      </c>
      <c r="P67" s="286">
        <f t="shared" si="8"/>
        <v>-587.9320840193709</v>
      </c>
      <c r="Q67" s="286">
        <f t="shared" si="8"/>
        <v>-583.9320840193709</v>
      </c>
      <c r="R67" s="286">
        <f t="shared" si="8"/>
        <v>-579.9320840193709</v>
      </c>
      <c r="T67" s="288">
        <v>0.05</v>
      </c>
      <c r="U67" s="286">
        <f t="shared" si="9"/>
        <v>-309.56604200968548</v>
      </c>
      <c r="V67" s="286">
        <f t="shared" si="9"/>
        <v>-305.96604200968545</v>
      </c>
      <c r="W67" s="286">
        <f t="shared" si="9"/>
        <v>-301.96604200968545</v>
      </c>
      <c r="X67" s="286">
        <f t="shared" si="9"/>
        <v>-297.96604200968545</v>
      </c>
      <c r="Y67" s="286">
        <f t="shared" si="9"/>
        <v>-293.96604200968545</v>
      </c>
      <c r="Z67" s="286">
        <f t="shared" si="9"/>
        <v>-289.96604200968545</v>
      </c>
      <c r="AA67" s="286">
        <f t="shared" si="9"/>
        <v>-285.96604200968545</v>
      </c>
      <c r="AB67" s="286">
        <f t="shared" si="9"/>
        <v>-281.96604200968545</v>
      </c>
      <c r="AC67" s="286">
        <f t="shared" si="9"/>
        <v>-277.96604200968545</v>
      </c>
      <c r="AD67" s="286">
        <f t="shared" si="9"/>
        <v>-273.96604200968545</v>
      </c>
      <c r="AE67" s="286">
        <f t="shared" si="9"/>
        <v>-269.96604200968545</v>
      </c>
      <c r="AG67" s="288">
        <v>0.05</v>
      </c>
      <c r="AH67" s="286">
        <f t="shared" ref="AH67:AR86" si="11">(((AH$64*$AG67)*((1-$C$33)*$C$22+$C$23))-($C$26-($C$26*$C$31)))</f>
        <v>-619.60708401937086</v>
      </c>
      <c r="AI67" s="286">
        <f t="shared" si="11"/>
        <v>-616.6820840193709</v>
      </c>
      <c r="AJ67" s="286">
        <f t="shared" si="11"/>
        <v>-613.4320840193709</v>
      </c>
      <c r="AK67" s="286">
        <f t="shared" si="11"/>
        <v>-610.1820840193709</v>
      </c>
      <c r="AL67" s="286">
        <f t="shared" si="11"/>
        <v>-606.9320840193709</v>
      </c>
      <c r="AM67" s="286">
        <f t="shared" si="11"/>
        <v>-603.6820840193709</v>
      </c>
      <c r="AN67" s="286">
        <f t="shared" si="11"/>
        <v>-600.4320840193709</v>
      </c>
      <c r="AO67" s="286">
        <f t="shared" si="11"/>
        <v>-597.1820840193709</v>
      </c>
      <c r="AP67" s="286">
        <f t="shared" si="11"/>
        <v>-593.9320840193709</v>
      </c>
      <c r="AQ67" s="286">
        <f t="shared" si="11"/>
        <v>-590.6820840193709</v>
      </c>
      <c r="AR67" s="286">
        <f t="shared" si="11"/>
        <v>-587.4320840193709</v>
      </c>
    </row>
    <row r="68" spans="7:44" hidden="1" outlineLevel="2" x14ac:dyDescent="0.25">
      <c r="G68" s="288">
        <v>0.1</v>
      </c>
      <c r="H68" s="286">
        <f t="shared" si="8"/>
        <v>-619.13208401937095</v>
      </c>
      <c r="I68" s="286">
        <f t="shared" si="8"/>
        <v>-611.9320840193709</v>
      </c>
      <c r="J68" s="286">
        <f t="shared" si="8"/>
        <v>-603.9320840193709</v>
      </c>
      <c r="K68" s="286">
        <f t="shared" si="8"/>
        <v>-595.9320840193709</v>
      </c>
      <c r="L68" s="286">
        <f t="shared" si="8"/>
        <v>-587.9320840193709</v>
      </c>
      <c r="M68" s="286">
        <f t="shared" si="8"/>
        <v>-579.9320840193709</v>
      </c>
      <c r="N68" s="286">
        <f t="shared" si="8"/>
        <v>-571.9320840193709</v>
      </c>
      <c r="O68" s="286">
        <f t="shared" si="8"/>
        <v>-563.9320840193709</v>
      </c>
      <c r="P68" s="286">
        <f t="shared" si="8"/>
        <v>-555.9320840193709</v>
      </c>
      <c r="Q68" s="286">
        <f t="shared" si="8"/>
        <v>-547.9320840193709</v>
      </c>
      <c r="R68" s="286">
        <f t="shared" si="8"/>
        <v>-539.9320840193709</v>
      </c>
      <c r="T68" s="288">
        <v>0.1</v>
      </c>
      <c r="U68" s="286">
        <f t="shared" si="9"/>
        <v>-309.16604200968544</v>
      </c>
      <c r="V68" s="286">
        <f t="shared" si="9"/>
        <v>-301.96604200968545</v>
      </c>
      <c r="W68" s="286">
        <f t="shared" si="9"/>
        <v>-293.96604200968545</v>
      </c>
      <c r="X68" s="286">
        <f t="shared" si="9"/>
        <v>-285.96604200968545</v>
      </c>
      <c r="Y68" s="286">
        <f t="shared" si="9"/>
        <v>-277.96604200968545</v>
      </c>
      <c r="Z68" s="286">
        <f t="shared" si="9"/>
        <v>-269.96604200968545</v>
      </c>
      <c r="AA68" s="286">
        <f t="shared" si="9"/>
        <v>-261.96604200968545</v>
      </c>
      <c r="AB68" s="286">
        <f t="shared" si="9"/>
        <v>-253.96604200968545</v>
      </c>
      <c r="AC68" s="286">
        <f t="shared" si="9"/>
        <v>-245.96604200968545</v>
      </c>
      <c r="AD68" s="286">
        <f t="shared" si="9"/>
        <v>-237.96604200968545</v>
      </c>
      <c r="AE68" s="286">
        <f t="shared" si="9"/>
        <v>-229.96604200968545</v>
      </c>
      <c r="AG68" s="288">
        <v>0.1</v>
      </c>
      <c r="AH68" s="286">
        <f t="shared" si="11"/>
        <v>-619.28208401937093</v>
      </c>
      <c r="AI68" s="286">
        <f t="shared" si="11"/>
        <v>-613.4320840193709</v>
      </c>
      <c r="AJ68" s="286">
        <f t="shared" si="11"/>
        <v>-606.9320840193709</v>
      </c>
      <c r="AK68" s="286">
        <f t="shared" si="11"/>
        <v>-600.4320840193709</v>
      </c>
      <c r="AL68" s="286">
        <f t="shared" si="11"/>
        <v>-593.9320840193709</v>
      </c>
      <c r="AM68" s="286">
        <f t="shared" si="11"/>
        <v>-587.4320840193709</v>
      </c>
      <c r="AN68" s="286">
        <f t="shared" si="11"/>
        <v>-580.9320840193709</v>
      </c>
      <c r="AO68" s="286">
        <f t="shared" si="11"/>
        <v>-574.4320840193709</v>
      </c>
      <c r="AP68" s="286">
        <f t="shared" si="11"/>
        <v>-567.9320840193709</v>
      </c>
      <c r="AQ68" s="286">
        <f t="shared" si="11"/>
        <v>-561.4320840193709</v>
      </c>
      <c r="AR68" s="286">
        <f t="shared" si="11"/>
        <v>-554.9320840193709</v>
      </c>
    </row>
    <row r="69" spans="7:44" hidden="1" outlineLevel="2" x14ac:dyDescent="0.25">
      <c r="G69" s="288">
        <v>0.15</v>
      </c>
      <c r="H69" s="286">
        <f t="shared" si="8"/>
        <v>-618.73208401937086</v>
      </c>
      <c r="I69" s="286">
        <f t="shared" si="8"/>
        <v>-607.9320840193709</v>
      </c>
      <c r="J69" s="286">
        <f t="shared" si="8"/>
        <v>-595.9320840193709</v>
      </c>
      <c r="K69" s="286">
        <f t="shared" si="8"/>
        <v>-583.9320840193709</v>
      </c>
      <c r="L69" s="286">
        <f t="shared" si="8"/>
        <v>-571.9320840193709</v>
      </c>
      <c r="M69" s="286">
        <f t="shared" si="8"/>
        <v>-559.9320840193709</v>
      </c>
      <c r="N69" s="286">
        <f t="shared" si="8"/>
        <v>-547.9320840193709</v>
      </c>
      <c r="O69" s="286">
        <f t="shared" si="8"/>
        <v>-535.9320840193709</v>
      </c>
      <c r="P69" s="286">
        <f t="shared" si="8"/>
        <v>-523.9320840193709</v>
      </c>
      <c r="Q69" s="286">
        <f t="shared" si="8"/>
        <v>-511.9320840193709</v>
      </c>
      <c r="R69" s="286">
        <f t="shared" si="8"/>
        <v>-499.9320840193709</v>
      </c>
      <c r="T69" s="288">
        <v>0.15</v>
      </c>
      <c r="U69" s="286">
        <f t="shared" si="9"/>
        <v>-308.76604200968546</v>
      </c>
      <c r="V69" s="286">
        <f t="shared" si="9"/>
        <v>-297.96604200968545</v>
      </c>
      <c r="W69" s="286">
        <f t="shared" si="9"/>
        <v>-285.96604200968545</v>
      </c>
      <c r="X69" s="286">
        <f t="shared" si="9"/>
        <v>-273.96604200968545</v>
      </c>
      <c r="Y69" s="286">
        <f t="shared" si="9"/>
        <v>-261.96604200968545</v>
      </c>
      <c r="Z69" s="286">
        <f t="shared" si="9"/>
        <v>-249.96604200968545</v>
      </c>
      <c r="AA69" s="286">
        <f t="shared" si="9"/>
        <v>-237.96604200968545</v>
      </c>
      <c r="AB69" s="286">
        <f t="shared" si="9"/>
        <v>-225.96604200968545</v>
      </c>
      <c r="AC69" s="286">
        <f t="shared" si="9"/>
        <v>-213.96604200968545</v>
      </c>
      <c r="AD69" s="286">
        <f t="shared" si="9"/>
        <v>-201.96604200968545</v>
      </c>
      <c r="AE69" s="286">
        <f t="shared" si="9"/>
        <v>-189.96604200968545</v>
      </c>
      <c r="AG69" s="288">
        <v>0.15</v>
      </c>
      <c r="AH69" s="286">
        <f t="shared" si="11"/>
        <v>-618.95708401937088</v>
      </c>
      <c r="AI69" s="286">
        <f t="shared" si="11"/>
        <v>-610.1820840193709</v>
      </c>
      <c r="AJ69" s="286">
        <f t="shared" si="11"/>
        <v>-600.4320840193709</v>
      </c>
      <c r="AK69" s="286">
        <f t="shared" si="11"/>
        <v>-590.6820840193709</v>
      </c>
      <c r="AL69" s="286">
        <f t="shared" si="11"/>
        <v>-580.9320840193709</v>
      </c>
      <c r="AM69" s="286">
        <f t="shared" si="11"/>
        <v>-571.1820840193709</v>
      </c>
      <c r="AN69" s="286">
        <f t="shared" si="11"/>
        <v>-561.4320840193709</v>
      </c>
      <c r="AO69" s="286">
        <f t="shared" si="11"/>
        <v>-551.6820840193709</v>
      </c>
      <c r="AP69" s="286">
        <f t="shared" si="11"/>
        <v>-541.9320840193709</v>
      </c>
      <c r="AQ69" s="286">
        <f t="shared" si="11"/>
        <v>-532.1820840193709</v>
      </c>
      <c r="AR69" s="286">
        <f t="shared" si="11"/>
        <v>-522.4320840193709</v>
      </c>
    </row>
    <row r="70" spans="7:44" hidden="1" outlineLevel="2" x14ac:dyDescent="0.25">
      <c r="G70" s="288">
        <v>0.2</v>
      </c>
      <c r="H70" s="286">
        <f t="shared" si="8"/>
        <v>-618.33208401937088</v>
      </c>
      <c r="I70" s="286">
        <f t="shared" si="8"/>
        <v>-603.9320840193709</v>
      </c>
      <c r="J70" s="286">
        <f t="shared" si="8"/>
        <v>-587.9320840193709</v>
      </c>
      <c r="K70" s="286">
        <f t="shared" si="8"/>
        <v>-571.9320840193709</v>
      </c>
      <c r="L70" s="286">
        <f t="shared" si="8"/>
        <v>-555.9320840193709</v>
      </c>
      <c r="M70" s="286">
        <f t="shared" si="8"/>
        <v>-539.9320840193709</v>
      </c>
      <c r="N70" s="286">
        <f t="shared" si="8"/>
        <v>-523.9320840193709</v>
      </c>
      <c r="O70" s="286">
        <f t="shared" si="8"/>
        <v>-507.9320840193709</v>
      </c>
      <c r="P70" s="286">
        <f t="shared" si="8"/>
        <v>-491.9320840193709</v>
      </c>
      <c r="Q70" s="286">
        <f t="shared" si="8"/>
        <v>-475.9320840193709</v>
      </c>
      <c r="R70" s="286">
        <f t="shared" si="8"/>
        <v>-459.9320840193709</v>
      </c>
      <c r="T70" s="288">
        <v>0.2</v>
      </c>
      <c r="U70" s="286">
        <f t="shared" si="9"/>
        <v>-308.36604200968543</v>
      </c>
      <c r="V70" s="286">
        <f t="shared" si="9"/>
        <v>-293.96604200968545</v>
      </c>
      <c r="W70" s="286">
        <f t="shared" si="9"/>
        <v>-277.96604200968545</v>
      </c>
      <c r="X70" s="286">
        <f t="shared" si="9"/>
        <v>-261.96604200968545</v>
      </c>
      <c r="Y70" s="286">
        <f t="shared" si="9"/>
        <v>-245.96604200968545</v>
      </c>
      <c r="Z70" s="286">
        <f t="shared" si="9"/>
        <v>-229.96604200968545</v>
      </c>
      <c r="AA70" s="286">
        <f t="shared" si="9"/>
        <v>-213.96604200968545</v>
      </c>
      <c r="AB70" s="286">
        <f t="shared" si="9"/>
        <v>-197.96604200968545</v>
      </c>
      <c r="AC70" s="286">
        <f t="shared" si="9"/>
        <v>-181.96604200968542</v>
      </c>
      <c r="AD70" s="286">
        <f t="shared" si="9"/>
        <v>-165.96604200968542</v>
      </c>
      <c r="AE70" s="286">
        <f t="shared" si="9"/>
        <v>-149.96604200968545</v>
      </c>
      <c r="AG70" s="288">
        <v>0.2</v>
      </c>
      <c r="AH70" s="286">
        <f t="shared" si="11"/>
        <v>-618.63208401937095</v>
      </c>
      <c r="AI70" s="286">
        <f t="shared" si="11"/>
        <v>-606.9320840193709</v>
      </c>
      <c r="AJ70" s="286">
        <f t="shared" si="11"/>
        <v>-593.9320840193709</v>
      </c>
      <c r="AK70" s="286">
        <f t="shared" si="11"/>
        <v>-580.9320840193709</v>
      </c>
      <c r="AL70" s="286">
        <f t="shared" si="11"/>
        <v>-567.9320840193709</v>
      </c>
      <c r="AM70" s="286">
        <f t="shared" si="11"/>
        <v>-554.9320840193709</v>
      </c>
      <c r="AN70" s="286">
        <f t="shared" si="11"/>
        <v>-541.9320840193709</v>
      </c>
      <c r="AO70" s="286">
        <f t="shared" si="11"/>
        <v>-528.9320840193709</v>
      </c>
      <c r="AP70" s="286">
        <f t="shared" si="11"/>
        <v>-515.9320840193709</v>
      </c>
      <c r="AQ70" s="286">
        <f t="shared" si="11"/>
        <v>-502.9320840193709</v>
      </c>
      <c r="AR70" s="286">
        <f t="shared" si="11"/>
        <v>-489.9320840193709</v>
      </c>
    </row>
    <row r="71" spans="7:44" hidden="1" outlineLevel="2" x14ac:dyDescent="0.25">
      <c r="G71" s="288">
        <v>0.25</v>
      </c>
      <c r="H71" s="286">
        <f t="shared" si="8"/>
        <v>-617.9320840193709</v>
      </c>
      <c r="I71" s="286">
        <f t="shared" si="8"/>
        <v>-599.9320840193709</v>
      </c>
      <c r="J71" s="286">
        <f t="shared" si="8"/>
        <v>-579.9320840193709</v>
      </c>
      <c r="K71" s="286">
        <f t="shared" si="8"/>
        <v>-559.9320840193709</v>
      </c>
      <c r="L71" s="286">
        <f t="shared" si="8"/>
        <v>-539.9320840193709</v>
      </c>
      <c r="M71" s="286">
        <f t="shared" si="8"/>
        <v>-519.9320840193709</v>
      </c>
      <c r="N71" s="286">
        <f t="shared" si="8"/>
        <v>-499.9320840193709</v>
      </c>
      <c r="O71" s="286">
        <f t="shared" si="8"/>
        <v>-479.9320840193709</v>
      </c>
      <c r="P71" s="286">
        <f t="shared" si="8"/>
        <v>-459.9320840193709</v>
      </c>
      <c r="Q71" s="286">
        <f t="shared" si="8"/>
        <v>-439.9320840193709</v>
      </c>
      <c r="R71" s="286">
        <f t="shared" si="8"/>
        <v>-419.9320840193709</v>
      </c>
      <c r="T71" s="288">
        <v>0.25</v>
      </c>
      <c r="U71" s="286">
        <f t="shared" si="9"/>
        <v>-307.96604200968545</v>
      </c>
      <c r="V71" s="286">
        <f t="shared" si="9"/>
        <v>-289.96604200968545</v>
      </c>
      <c r="W71" s="286">
        <f t="shared" si="9"/>
        <v>-269.96604200968545</v>
      </c>
      <c r="X71" s="286">
        <f t="shared" si="9"/>
        <v>-249.96604200968545</v>
      </c>
      <c r="Y71" s="286">
        <f t="shared" si="9"/>
        <v>-229.96604200968545</v>
      </c>
      <c r="Z71" s="286">
        <f t="shared" si="9"/>
        <v>-209.96604200968545</v>
      </c>
      <c r="AA71" s="286">
        <f t="shared" si="9"/>
        <v>-189.96604200968545</v>
      </c>
      <c r="AB71" s="286">
        <f t="shared" si="9"/>
        <v>-169.96604200968545</v>
      </c>
      <c r="AC71" s="286">
        <f t="shared" si="9"/>
        <v>-149.96604200968545</v>
      </c>
      <c r="AD71" s="286">
        <f t="shared" si="9"/>
        <v>-129.96604200968545</v>
      </c>
      <c r="AE71" s="286">
        <f t="shared" si="9"/>
        <v>-109.96604200968545</v>
      </c>
      <c r="AG71" s="288">
        <v>0.25</v>
      </c>
      <c r="AH71" s="286">
        <f t="shared" si="11"/>
        <v>-618.3070840193709</v>
      </c>
      <c r="AI71" s="286">
        <f t="shared" si="11"/>
        <v>-603.6820840193709</v>
      </c>
      <c r="AJ71" s="286">
        <f t="shared" si="11"/>
        <v>-587.4320840193709</v>
      </c>
      <c r="AK71" s="286">
        <f t="shared" si="11"/>
        <v>-571.1820840193709</v>
      </c>
      <c r="AL71" s="286">
        <f t="shared" si="11"/>
        <v>-554.9320840193709</v>
      </c>
      <c r="AM71" s="286">
        <f t="shared" si="11"/>
        <v>-538.6820840193709</v>
      </c>
      <c r="AN71" s="286">
        <f t="shared" si="11"/>
        <v>-522.4320840193709</v>
      </c>
      <c r="AO71" s="286">
        <f t="shared" si="11"/>
        <v>-506.1820840193709</v>
      </c>
      <c r="AP71" s="286">
        <f t="shared" si="11"/>
        <v>-489.9320840193709</v>
      </c>
      <c r="AQ71" s="286">
        <f t="shared" si="11"/>
        <v>-473.6820840193709</v>
      </c>
      <c r="AR71" s="286">
        <f t="shared" si="11"/>
        <v>-457.4320840193709</v>
      </c>
    </row>
    <row r="72" spans="7:44" hidden="1" outlineLevel="2" x14ac:dyDescent="0.25">
      <c r="G72" s="288">
        <v>0.3</v>
      </c>
      <c r="H72" s="286">
        <f t="shared" si="8"/>
        <v>-617.53208401937093</v>
      </c>
      <c r="I72" s="286">
        <f t="shared" si="8"/>
        <v>-595.9320840193709</v>
      </c>
      <c r="J72" s="286">
        <f t="shared" si="8"/>
        <v>-571.9320840193709</v>
      </c>
      <c r="K72" s="286">
        <f t="shared" si="8"/>
        <v>-547.9320840193709</v>
      </c>
      <c r="L72" s="286">
        <f t="shared" si="8"/>
        <v>-523.9320840193709</v>
      </c>
      <c r="M72" s="286">
        <f t="shared" si="8"/>
        <v>-499.9320840193709</v>
      </c>
      <c r="N72" s="286">
        <f t="shared" si="8"/>
        <v>-475.9320840193709</v>
      </c>
      <c r="O72" s="286">
        <f t="shared" si="8"/>
        <v>-451.9320840193709</v>
      </c>
      <c r="P72" s="286">
        <f t="shared" si="8"/>
        <v>-427.9320840193709</v>
      </c>
      <c r="Q72" s="286">
        <f t="shared" si="8"/>
        <v>-403.9320840193709</v>
      </c>
      <c r="R72" s="286">
        <f t="shared" si="8"/>
        <v>-379.9320840193709</v>
      </c>
      <c r="T72" s="288">
        <v>0.3</v>
      </c>
      <c r="U72" s="286">
        <f t="shared" si="9"/>
        <v>-307.56604200968548</v>
      </c>
      <c r="V72" s="286">
        <f t="shared" si="9"/>
        <v>-285.96604200968545</v>
      </c>
      <c r="W72" s="286">
        <f t="shared" si="9"/>
        <v>-261.96604200968545</v>
      </c>
      <c r="X72" s="286">
        <f t="shared" si="9"/>
        <v>-237.96604200968545</v>
      </c>
      <c r="Y72" s="286">
        <f t="shared" si="9"/>
        <v>-213.96604200968545</v>
      </c>
      <c r="Z72" s="286">
        <f t="shared" si="9"/>
        <v>-189.96604200968545</v>
      </c>
      <c r="AA72" s="286">
        <f t="shared" si="9"/>
        <v>-165.96604200968545</v>
      </c>
      <c r="AB72" s="286">
        <f t="shared" si="9"/>
        <v>-141.96604200968545</v>
      </c>
      <c r="AC72" s="286">
        <f t="shared" si="9"/>
        <v>-117.96604200968545</v>
      </c>
      <c r="AD72" s="286">
        <f t="shared" si="9"/>
        <v>-93.966042009685452</v>
      </c>
      <c r="AE72" s="286">
        <f t="shared" si="9"/>
        <v>-69.966042009685452</v>
      </c>
      <c r="AG72" s="288">
        <v>0.3</v>
      </c>
      <c r="AH72" s="286">
        <f t="shared" si="11"/>
        <v>-617.98208401937086</v>
      </c>
      <c r="AI72" s="286">
        <f t="shared" si="11"/>
        <v>-600.4320840193709</v>
      </c>
      <c r="AJ72" s="286">
        <f t="shared" si="11"/>
        <v>-580.9320840193709</v>
      </c>
      <c r="AK72" s="286">
        <f t="shared" si="11"/>
        <v>-561.4320840193709</v>
      </c>
      <c r="AL72" s="286">
        <f t="shared" si="11"/>
        <v>-541.9320840193709</v>
      </c>
      <c r="AM72" s="286">
        <f t="shared" si="11"/>
        <v>-522.4320840193709</v>
      </c>
      <c r="AN72" s="286">
        <f t="shared" si="11"/>
        <v>-502.9320840193709</v>
      </c>
      <c r="AO72" s="286">
        <f t="shared" si="11"/>
        <v>-483.4320840193709</v>
      </c>
      <c r="AP72" s="286">
        <f t="shared" si="11"/>
        <v>-463.9320840193709</v>
      </c>
      <c r="AQ72" s="286">
        <f t="shared" si="11"/>
        <v>-444.4320840193709</v>
      </c>
      <c r="AR72" s="286">
        <f t="shared" si="11"/>
        <v>-424.9320840193709</v>
      </c>
    </row>
    <row r="73" spans="7:44" hidden="1" outlineLevel="2" x14ac:dyDescent="0.25">
      <c r="G73" s="288">
        <v>0.35</v>
      </c>
      <c r="H73" s="286">
        <f t="shared" si="8"/>
        <v>-617.13208401937095</v>
      </c>
      <c r="I73" s="286">
        <f t="shared" si="8"/>
        <v>-591.9320840193709</v>
      </c>
      <c r="J73" s="286">
        <f t="shared" si="8"/>
        <v>-563.9320840193709</v>
      </c>
      <c r="K73" s="286">
        <f t="shared" si="8"/>
        <v>-535.9320840193709</v>
      </c>
      <c r="L73" s="286">
        <f t="shared" si="8"/>
        <v>-507.9320840193709</v>
      </c>
      <c r="M73" s="286">
        <f t="shared" si="8"/>
        <v>-479.9320840193709</v>
      </c>
      <c r="N73" s="286">
        <f t="shared" si="8"/>
        <v>-451.9320840193709</v>
      </c>
      <c r="O73" s="286">
        <f t="shared" si="8"/>
        <v>-423.9320840193709</v>
      </c>
      <c r="P73" s="286">
        <f t="shared" si="8"/>
        <v>-395.9320840193709</v>
      </c>
      <c r="Q73" s="286">
        <f t="shared" si="8"/>
        <v>-367.9320840193709</v>
      </c>
      <c r="R73" s="286">
        <f t="shared" si="8"/>
        <v>-339.9320840193709</v>
      </c>
      <c r="T73" s="288">
        <v>0.35</v>
      </c>
      <c r="U73" s="286">
        <f t="shared" si="9"/>
        <v>-307.16604200968544</v>
      </c>
      <c r="V73" s="286">
        <f t="shared" si="9"/>
        <v>-281.96604200968545</v>
      </c>
      <c r="W73" s="286">
        <f t="shared" si="9"/>
        <v>-253.96604200968545</v>
      </c>
      <c r="X73" s="286">
        <f t="shared" si="9"/>
        <v>-225.96604200968545</v>
      </c>
      <c r="Y73" s="286">
        <f t="shared" si="9"/>
        <v>-197.96604200968545</v>
      </c>
      <c r="Z73" s="286">
        <f t="shared" si="9"/>
        <v>-169.96604200968545</v>
      </c>
      <c r="AA73" s="286">
        <f t="shared" si="9"/>
        <v>-141.96604200968545</v>
      </c>
      <c r="AB73" s="286">
        <f t="shared" si="9"/>
        <v>-113.96604200968548</v>
      </c>
      <c r="AC73" s="286">
        <f t="shared" si="9"/>
        <v>-85.966042009685481</v>
      </c>
      <c r="AD73" s="286">
        <f t="shared" si="9"/>
        <v>-57.966042009685452</v>
      </c>
      <c r="AE73" s="286">
        <f t="shared" si="9"/>
        <v>-29.966042009685452</v>
      </c>
      <c r="AG73" s="288">
        <v>0.35</v>
      </c>
      <c r="AH73" s="286">
        <f t="shared" si="11"/>
        <v>-617.65708401937093</v>
      </c>
      <c r="AI73" s="286">
        <f t="shared" si="11"/>
        <v>-597.1820840193709</v>
      </c>
      <c r="AJ73" s="286">
        <f t="shared" si="11"/>
        <v>-574.4320840193709</v>
      </c>
      <c r="AK73" s="286">
        <f t="shared" si="11"/>
        <v>-551.6820840193709</v>
      </c>
      <c r="AL73" s="286">
        <f t="shared" si="11"/>
        <v>-528.9320840193709</v>
      </c>
      <c r="AM73" s="286">
        <f t="shared" si="11"/>
        <v>-506.1820840193709</v>
      </c>
      <c r="AN73" s="286">
        <f t="shared" si="11"/>
        <v>-483.4320840193709</v>
      </c>
      <c r="AO73" s="286">
        <f t="shared" si="11"/>
        <v>-460.6820840193709</v>
      </c>
      <c r="AP73" s="286">
        <f t="shared" si="11"/>
        <v>-437.9320840193709</v>
      </c>
      <c r="AQ73" s="286">
        <f t="shared" si="11"/>
        <v>-415.1820840193709</v>
      </c>
      <c r="AR73" s="286">
        <f t="shared" si="11"/>
        <v>-392.4320840193709</v>
      </c>
    </row>
    <row r="74" spans="7:44" hidden="1" outlineLevel="2" x14ac:dyDescent="0.25">
      <c r="G74" s="288">
        <v>0.4</v>
      </c>
      <c r="H74" s="286">
        <f t="shared" si="8"/>
        <v>-616.73208401937086</v>
      </c>
      <c r="I74" s="286">
        <f t="shared" si="8"/>
        <v>-587.9320840193709</v>
      </c>
      <c r="J74" s="286">
        <f t="shared" si="8"/>
        <v>-555.9320840193709</v>
      </c>
      <c r="K74" s="286">
        <f t="shared" si="8"/>
        <v>-523.9320840193709</v>
      </c>
      <c r="L74" s="286">
        <f t="shared" si="8"/>
        <v>-491.9320840193709</v>
      </c>
      <c r="M74" s="286">
        <f t="shared" si="8"/>
        <v>-459.9320840193709</v>
      </c>
      <c r="N74" s="286">
        <f t="shared" si="8"/>
        <v>-427.9320840193709</v>
      </c>
      <c r="O74" s="286">
        <f t="shared" si="8"/>
        <v>-395.9320840193709</v>
      </c>
      <c r="P74" s="286">
        <f t="shared" si="8"/>
        <v>-363.93208401937085</v>
      </c>
      <c r="Q74" s="286">
        <f t="shared" si="8"/>
        <v>-331.93208401937085</v>
      </c>
      <c r="R74" s="286">
        <f t="shared" si="8"/>
        <v>-299.9320840193709</v>
      </c>
      <c r="T74" s="288">
        <v>0.4</v>
      </c>
      <c r="U74" s="286">
        <f t="shared" si="9"/>
        <v>-306.76604200968546</v>
      </c>
      <c r="V74" s="286">
        <f t="shared" si="9"/>
        <v>-277.96604200968545</v>
      </c>
      <c r="W74" s="286">
        <f t="shared" si="9"/>
        <v>-245.96604200968545</v>
      </c>
      <c r="X74" s="286">
        <f t="shared" si="9"/>
        <v>-213.96604200968545</v>
      </c>
      <c r="Y74" s="286">
        <f t="shared" si="9"/>
        <v>-181.96604200968542</v>
      </c>
      <c r="Z74" s="286">
        <f t="shared" si="9"/>
        <v>-149.96604200968545</v>
      </c>
      <c r="AA74" s="286">
        <f t="shared" si="9"/>
        <v>-117.96604200968545</v>
      </c>
      <c r="AB74" s="286">
        <f t="shared" si="9"/>
        <v>-85.966042009685481</v>
      </c>
      <c r="AC74" s="286">
        <f t="shared" si="9"/>
        <v>-53.966042009685395</v>
      </c>
      <c r="AD74" s="286">
        <f t="shared" si="9"/>
        <v>-21.966042009685395</v>
      </c>
      <c r="AE74" s="286">
        <f t="shared" si="9"/>
        <v>10.033957990314548</v>
      </c>
      <c r="AG74" s="288">
        <v>0.4</v>
      </c>
      <c r="AH74" s="286">
        <f t="shared" si="11"/>
        <v>-617.33208401937088</v>
      </c>
      <c r="AI74" s="286">
        <f t="shared" si="11"/>
        <v>-593.9320840193709</v>
      </c>
      <c r="AJ74" s="286">
        <f t="shared" si="11"/>
        <v>-567.9320840193709</v>
      </c>
      <c r="AK74" s="286">
        <f t="shared" si="11"/>
        <v>-541.9320840193709</v>
      </c>
      <c r="AL74" s="286">
        <f t="shared" si="11"/>
        <v>-515.9320840193709</v>
      </c>
      <c r="AM74" s="286">
        <f t="shared" si="11"/>
        <v>-489.9320840193709</v>
      </c>
      <c r="AN74" s="286">
        <f t="shared" si="11"/>
        <v>-463.9320840193709</v>
      </c>
      <c r="AO74" s="286">
        <f t="shared" si="11"/>
        <v>-437.9320840193709</v>
      </c>
      <c r="AP74" s="286">
        <f t="shared" si="11"/>
        <v>-411.9320840193709</v>
      </c>
      <c r="AQ74" s="286">
        <f t="shared" si="11"/>
        <v>-385.9320840193709</v>
      </c>
      <c r="AR74" s="286">
        <f t="shared" si="11"/>
        <v>-359.9320840193709</v>
      </c>
    </row>
    <row r="75" spans="7:44" hidden="1" outlineLevel="2" x14ac:dyDescent="0.25">
      <c r="G75" s="288">
        <v>0.45</v>
      </c>
      <c r="H75" s="286">
        <f t="shared" si="8"/>
        <v>-616.33208401937088</v>
      </c>
      <c r="I75" s="286">
        <f t="shared" si="8"/>
        <v>-583.9320840193709</v>
      </c>
      <c r="J75" s="286">
        <f t="shared" si="8"/>
        <v>-547.9320840193709</v>
      </c>
      <c r="K75" s="286">
        <f t="shared" si="8"/>
        <v>-511.9320840193709</v>
      </c>
      <c r="L75" s="286">
        <f t="shared" si="8"/>
        <v>-475.9320840193709</v>
      </c>
      <c r="M75" s="286">
        <f t="shared" si="8"/>
        <v>-439.9320840193709</v>
      </c>
      <c r="N75" s="286">
        <f t="shared" si="8"/>
        <v>-403.9320840193709</v>
      </c>
      <c r="O75" s="286">
        <f t="shared" si="8"/>
        <v>-367.9320840193709</v>
      </c>
      <c r="P75" s="286">
        <f t="shared" si="8"/>
        <v>-331.93208401937085</v>
      </c>
      <c r="Q75" s="286">
        <f t="shared" si="8"/>
        <v>-295.9320840193709</v>
      </c>
      <c r="R75" s="286">
        <f t="shared" si="8"/>
        <v>-259.9320840193709</v>
      </c>
      <c r="T75" s="288">
        <v>0.45</v>
      </c>
      <c r="U75" s="286">
        <f t="shared" si="9"/>
        <v>-306.36604200968543</v>
      </c>
      <c r="V75" s="286">
        <f t="shared" si="9"/>
        <v>-273.96604200968545</v>
      </c>
      <c r="W75" s="286">
        <f t="shared" si="9"/>
        <v>-237.96604200968545</v>
      </c>
      <c r="X75" s="286">
        <f t="shared" si="9"/>
        <v>-201.96604200968545</v>
      </c>
      <c r="Y75" s="286">
        <f t="shared" si="9"/>
        <v>-165.96604200968542</v>
      </c>
      <c r="Z75" s="286">
        <f t="shared" si="9"/>
        <v>-129.96604200968545</v>
      </c>
      <c r="AA75" s="286">
        <f t="shared" si="9"/>
        <v>-93.966042009685452</v>
      </c>
      <c r="AB75" s="286">
        <f t="shared" si="9"/>
        <v>-57.966042009685452</v>
      </c>
      <c r="AC75" s="286">
        <f t="shared" si="9"/>
        <v>-21.966042009685395</v>
      </c>
      <c r="AD75" s="286">
        <f t="shared" si="9"/>
        <v>14.033957990314548</v>
      </c>
      <c r="AE75" s="286">
        <f t="shared" si="9"/>
        <v>50.033957990314548</v>
      </c>
      <c r="AG75" s="288">
        <v>0.45</v>
      </c>
      <c r="AH75" s="286">
        <f t="shared" si="11"/>
        <v>-617.00708401937095</v>
      </c>
      <c r="AI75" s="286">
        <f t="shared" si="11"/>
        <v>-590.6820840193709</v>
      </c>
      <c r="AJ75" s="286">
        <f t="shared" si="11"/>
        <v>-561.4320840193709</v>
      </c>
      <c r="AK75" s="286">
        <f t="shared" si="11"/>
        <v>-532.1820840193709</v>
      </c>
      <c r="AL75" s="286">
        <f t="shared" si="11"/>
        <v>-502.9320840193709</v>
      </c>
      <c r="AM75" s="286">
        <f t="shared" si="11"/>
        <v>-473.6820840193709</v>
      </c>
      <c r="AN75" s="286">
        <f t="shared" si="11"/>
        <v>-444.4320840193709</v>
      </c>
      <c r="AO75" s="286">
        <f t="shared" si="11"/>
        <v>-415.1820840193709</v>
      </c>
      <c r="AP75" s="286">
        <f t="shared" si="11"/>
        <v>-385.9320840193709</v>
      </c>
      <c r="AQ75" s="286">
        <f t="shared" si="11"/>
        <v>-356.6820840193709</v>
      </c>
      <c r="AR75" s="286">
        <f t="shared" si="11"/>
        <v>-327.4320840193709</v>
      </c>
    </row>
    <row r="76" spans="7:44" collapsed="1" x14ac:dyDescent="0.25">
      <c r="G76" s="288">
        <v>0.5</v>
      </c>
      <c r="H76" s="286">
        <f t="shared" ref="H76:R86" si="12">(((H$64*$G76)*($C$22+$C$23))-($C$26-($C$26*$C$31)))</f>
        <v>-615.9320840193709</v>
      </c>
      <c r="I76" s="286">
        <f t="shared" si="12"/>
        <v>-579.9320840193709</v>
      </c>
      <c r="J76" s="286">
        <f t="shared" si="12"/>
        <v>-539.9320840193709</v>
      </c>
      <c r="K76" s="286">
        <f t="shared" si="12"/>
        <v>-499.9320840193709</v>
      </c>
      <c r="L76" s="286">
        <f t="shared" si="12"/>
        <v>-459.9320840193709</v>
      </c>
      <c r="M76" s="286">
        <f t="shared" si="12"/>
        <v>-419.9320840193709</v>
      </c>
      <c r="N76" s="286">
        <f t="shared" si="12"/>
        <v>-379.9320840193709</v>
      </c>
      <c r="O76" s="286">
        <f>(((O$64*$G76)*($C$22+$C$23))-($C$26-($C$26*$C$31)))</f>
        <v>-339.9320840193709</v>
      </c>
      <c r="P76" s="286">
        <f t="shared" si="12"/>
        <v>-299.9320840193709</v>
      </c>
      <c r="Q76" s="286">
        <f t="shared" si="12"/>
        <v>-259.9320840193709</v>
      </c>
      <c r="R76" s="286">
        <f t="shared" si="12"/>
        <v>-219.9320840193709</v>
      </c>
      <c r="T76" s="288">
        <v>0.5</v>
      </c>
      <c r="U76" s="286">
        <f t="shared" ref="U76:AE86" si="13">(((U$64*$T76)*($C$22+$C$23))-($C$26-($C$26*$C$32)))</f>
        <v>-305.96604200968545</v>
      </c>
      <c r="V76" s="286">
        <f t="shared" si="13"/>
        <v>-269.96604200968545</v>
      </c>
      <c r="W76" s="286">
        <f t="shared" si="13"/>
        <v>-229.96604200968545</v>
      </c>
      <c r="X76" s="286">
        <f t="shared" si="13"/>
        <v>-189.96604200968545</v>
      </c>
      <c r="Y76" s="286">
        <f t="shared" si="13"/>
        <v>-149.96604200968545</v>
      </c>
      <c r="Z76" s="286">
        <f t="shared" si="13"/>
        <v>-109.96604200968545</v>
      </c>
      <c r="AA76" s="286">
        <f t="shared" si="13"/>
        <v>-69.966042009685452</v>
      </c>
      <c r="AB76" s="286">
        <f t="shared" si="13"/>
        <v>-29.966042009685452</v>
      </c>
      <c r="AC76" s="286">
        <f t="shared" si="13"/>
        <v>10.033957990314548</v>
      </c>
      <c r="AD76" s="286">
        <f t="shared" si="13"/>
        <v>50.033957990314548</v>
      </c>
      <c r="AE76" s="286">
        <f t="shared" si="13"/>
        <v>90.033957990314548</v>
      </c>
      <c r="AG76" s="288">
        <v>0.5</v>
      </c>
      <c r="AH76" s="286">
        <f t="shared" si="11"/>
        <v>-616.6820840193709</v>
      </c>
      <c r="AI76" s="286">
        <f t="shared" si="11"/>
        <v>-587.4320840193709</v>
      </c>
      <c r="AJ76" s="286">
        <f t="shared" si="11"/>
        <v>-554.9320840193709</v>
      </c>
      <c r="AK76" s="286">
        <f t="shared" si="11"/>
        <v>-522.4320840193709</v>
      </c>
      <c r="AL76" s="286">
        <f t="shared" si="11"/>
        <v>-489.9320840193709</v>
      </c>
      <c r="AM76" s="286">
        <f t="shared" si="11"/>
        <v>-457.4320840193709</v>
      </c>
      <c r="AN76" s="286">
        <f t="shared" si="11"/>
        <v>-424.9320840193709</v>
      </c>
      <c r="AO76" s="286">
        <f t="shared" si="11"/>
        <v>-392.4320840193709</v>
      </c>
      <c r="AP76" s="286">
        <f t="shared" si="11"/>
        <v>-359.9320840193709</v>
      </c>
      <c r="AQ76" s="286">
        <f t="shared" si="11"/>
        <v>-327.4320840193709</v>
      </c>
      <c r="AR76" s="286">
        <f t="shared" si="11"/>
        <v>-294.9320840193709</v>
      </c>
    </row>
    <row r="77" spans="7:44" x14ac:dyDescent="0.25">
      <c r="G77" s="288">
        <v>0.55000000000000004</v>
      </c>
      <c r="H77" s="286">
        <f t="shared" si="12"/>
        <v>-615.53208401937093</v>
      </c>
      <c r="I77" s="286">
        <f t="shared" si="12"/>
        <v>-575.9320840193709</v>
      </c>
      <c r="J77" s="286">
        <f t="shared" si="12"/>
        <v>-531.9320840193709</v>
      </c>
      <c r="K77" s="286">
        <f t="shared" si="12"/>
        <v>-487.9320840193709</v>
      </c>
      <c r="L77" s="286">
        <f t="shared" si="12"/>
        <v>-443.9320840193709</v>
      </c>
      <c r="M77" s="286">
        <f t="shared" si="12"/>
        <v>-399.9320840193709</v>
      </c>
      <c r="N77" s="286">
        <f t="shared" si="12"/>
        <v>-355.9320840193709</v>
      </c>
      <c r="O77" s="286">
        <f t="shared" si="12"/>
        <v>-311.9320840193709</v>
      </c>
      <c r="P77" s="286">
        <f t="shared" si="12"/>
        <v>-267.93208401937085</v>
      </c>
      <c r="Q77" s="286">
        <f t="shared" si="12"/>
        <v>-223.93208401937085</v>
      </c>
      <c r="R77" s="286">
        <f t="shared" si="12"/>
        <v>-179.93208401937085</v>
      </c>
      <c r="T77" s="288">
        <v>0.55000000000000004</v>
      </c>
      <c r="U77" s="286">
        <f t="shared" si="13"/>
        <v>-305.56604200968548</v>
      </c>
      <c r="V77" s="286">
        <f t="shared" si="13"/>
        <v>-265.96604200968545</v>
      </c>
      <c r="W77" s="286">
        <f t="shared" si="13"/>
        <v>-221.96604200968545</v>
      </c>
      <c r="X77" s="286">
        <f t="shared" si="13"/>
        <v>-177.96604200968545</v>
      </c>
      <c r="Y77" s="286">
        <f t="shared" si="13"/>
        <v>-133.96604200968542</v>
      </c>
      <c r="Z77" s="286">
        <f t="shared" si="13"/>
        <v>-89.966042009685424</v>
      </c>
      <c r="AA77" s="286">
        <f t="shared" si="13"/>
        <v>-45.966042009685452</v>
      </c>
      <c r="AB77" s="286">
        <f t="shared" si="13"/>
        <v>-1.9660420096854523</v>
      </c>
      <c r="AC77" s="286">
        <f t="shared" si="13"/>
        <v>42.033957990314605</v>
      </c>
      <c r="AD77" s="286">
        <f t="shared" si="13"/>
        <v>86.033957990314605</v>
      </c>
      <c r="AE77" s="286">
        <f t="shared" si="13"/>
        <v>130.0339579903146</v>
      </c>
      <c r="AG77" s="288">
        <v>0.55000000000000004</v>
      </c>
      <c r="AH77" s="286">
        <f t="shared" si="11"/>
        <v>-616.35708401937086</v>
      </c>
      <c r="AI77" s="286">
        <f t="shared" si="11"/>
        <v>-584.1820840193709</v>
      </c>
      <c r="AJ77" s="286">
        <f t="shared" si="11"/>
        <v>-548.4320840193709</v>
      </c>
      <c r="AK77" s="286">
        <f t="shared" si="11"/>
        <v>-512.6820840193709</v>
      </c>
      <c r="AL77" s="286">
        <f t="shared" si="11"/>
        <v>-476.9320840193709</v>
      </c>
      <c r="AM77" s="286">
        <f t="shared" si="11"/>
        <v>-441.1820840193709</v>
      </c>
      <c r="AN77" s="286">
        <f t="shared" si="11"/>
        <v>-405.4320840193709</v>
      </c>
      <c r="AO77" s="286">
        <f t="shared" si="11"/>
        <v>-369.6820840193709</v>
      </c>
      <c r="AP77" s="286">
        <f t="shared" si="11"/>
        <v>-333.93208401937085</v>
      </c>
      <c r="AQ77" s="286">
        <f t="shared" si="11"/>
        <v>-298.18208401937085</v>
      </c>
      <c r="AR77" s="286">
        <f t="shared" si="11"/>
        <v>-262.43208401937085</v>
      </c>
    </row>
    <row r="78" spans="7:44" x14ac:dyDescent="0.25">
      <c r="G78" s="288">
        <v>0.6</v>
      </c>
      <c r="H78" s="286">
        <f t="shared" si="12"/>
        <v>-615.13208401937095</v>
      </c>
      <c r="I78" s="286">
        <f t="shared" si="12"/>
        <v>-571.9320840193709</v>
      </c>
      <c r="J78" s="286">
        <f t="shared" si="12"/>
        <v>-523.9320840193709</v>
      </c>
      <c r="K78" s="286">
        <f t="shared" si="12"/>
        <v>-475.9320840193709</v>
      </c>
      <c r="L78" s="286">
        <f t="shared" si="12"/>
        <v>-427.9320840193709</v>
      </c>
      <c r="M78" s="286">
        <f t="shared" si="12"/>
        <v>-379.9320840193709</v>
      </c>
      <c r="N78" s="286">
        <f t="shared" si="12"/>
        <v>-331.9320840193709</v>
      </c>
      <c r="O78" s="286">
        <f t="shared" si="12"/>
        <v>-283.9320840193709</v>
      </c>
      <c r="P78" s="286">
        <f t="shared" si="12"/>
        <v>-235.9320840193709</v>
      </c>
      <c r="Q78" s="286">
        <f t="shared" si="12"/>
        <v>-187.9320840193709</v>
      </c>
      <c r="R78" s="286">
        <f t="shared" si="12"/>
        <v>-139.9320840193709</v>
      </c>
      <c r="T78" s="288">
        <v>0.6</v>
      </c>
      <c r="U78" s="286">
        <f t="shared" si="13"/>
        <v>-305.16604200968544</v>
      </c>
      <c r="V78" s="286">
        <f t="shared" si="13"/>
        <v>-261.96604200968545</v>
      </c>
      <c r="W78" s="286">
        <f t="shared" si="13"/>
        <v>-213.96604200968545</v>
      </c>
      <c r="X78" s="286">
        <f t="shared" si="13"/>
        <v>-165.96604200968545</v>
      </c>
      <c r="Y78" s="286">
        <f t="shared" si="13"/>
        <v>-117.96604200968545</v>
      </c>
      <c r="Z78" s="286">
        <f t="shared" si="13"/>
        <v>-69.966042009685452</v>
      </c>
      <c r="AA78" s="286">
        <f t="shared" si="13"/>
        <v>-21.966042009685452</v>
      </c>
      <c r="AB78" s="286">
        <f t="shared" si="13"/>
        <v>26.033957990314548</v>
      </c>
      <c r="AC78" s="286">
        <f t="shared" si="13"/>
        <v>74.033957990314548</v>
      </c>
      <c r="AD78" s="286">
        <f t="shared" si="13"/>
        <v>122.03395799031455</v>
      </c>
      <c r="AE78" s="286">
        <f t="shared" si="13"/>
        <v>170.03395799031455</v>
      </c>
      <c r="AG78" s="288">
        <v>0.6</v>
      </c>
      <c r="AH78" s="286">
        <f t="shared" si="11"/>
        <v>-616.03208401937093</v>
      </c>
      <c r="AI78" s="286">
        <f t="shared" si="11"/>
        <v>-580.9320840193709</v>
      </c>
      <c r="AJ78" s="286">
        <f t="shared" si="11"/>
        <v>-541.9320840193709</v>
      </c>
      <c r="AK78" s="286">
        <f t="shared" si="11"/>
        <v>-502.9320840193709</v>
      </c>
      <c r="AL78" s="286">
        <f t="shared" si="11"/>
        <v>-463.9320840193709</v>
      </c>
      <c r="AM78" s="286">
        <f t="shared" si="11"/>
        <v>-424.9320840193709</v>
      </c>
      <c r="AN78" s="286">
        <f t="shared" si="11"/>
        <v>-385.9320840193709</v>
      </c>
      <c r="AO78" s="286">
        <f t="shared" si="11"/>
        <v>-346.9320840193709</v>
      </c>
      <c r="AP78" s="286">
        <f t="shared" si="11"/>
        <v>-307.9320840193709</v>
      </c>
      <c r="AQ78" s="286">
        <f t="shared" si="11"/>
        <v>-268.9320840193709</v>
      </c>
      <c r="AR78" s="286">
        <f t="shared" si="11"/>
        <v>-229.9320840193709</v>
      </c>
    </row>
    <row r="79" spans="7:44" x14ac:dyDescent="0.25">
      <c r="G79" s="288">
        <v>0.65</v>
      </c>
      <c r="H79" s="286">
        <f t="shared" si="12"/>
        <v>-614.73208401937086</v>
      </c>
      <c r="I79" s="286">
        <f t="shared" si="12"/>
        <v>-567.9320840193709</v>
      </c>
      <c r="J79" s="286">
        <f t="shared" si="12"/>
        <v>-515.9320840193709</v>
      </c>
      <c r="K79" s="286">
        <f t="shared" si="12"/>
        <v>-463.9320840193709</v>
      </c>
      <c r="L79" s="286">
        <f t="shared" si="12"/>
        <v>-411.9320840193709</v>
      </c>
      <c r="M79" s="286">
        <f t="shared" si="12"/>
        <v>-359.9320840193709</v>
      </c>
      <c r="N79" s="286">
        <f t="shared" si="12"/>
        <v>-307.9320840193709</v>
      </c>
      <c r="O79" s="286">
        <f t="shared" si="12"/>
        <v>-255.93208401937096</v>
      </c>
      <c r="P79" s="286">
        <f t="shared" si="12"/>
        <v>-203.9320840193709</v>
      </c>
      <c r="Q79" s="286">
        <f t="shared" si="12"/>
        <v>-151.93208401937085</v>
      </c>
      <c r="R79" s="286">
        <f t="shared" si="12"/>
        <v>-99.932084019370905</v>
      </c>
      <c r="T79" s="288">
        <v>0.65</v>
      </c>
      <c r="U79" s="286">
        <f t="shared" si="13"/>
        <v>-304.76604200968546</v>
      </c>
      <c r="V79" s="286">
        <f t="shared" si="13"/>
        <v>-257.96604200968545</v>
      </c>
      <c r="W79" s="286">
        <f t="shared" si="13"/>
        <v>-205.96604200968545</v>
      </c>
      <c r="X79" s="286">
        <f t="shared" si="13"/>
        <v>-153.96604200968545</v>
      </c>
      <c r="Y79" s="286">
        <f t="shared" si="13"/>
        <v>-101.96604200968545</v>
      </c>
      <c r="Z79" s="286">
        <f t="shared" si="13"/>
        <v>-49.966042009685452</v>
      </c>
      <c r="AA79" s="286">
        <f t="shared" si="13"/>
        <v>2.0339579903145477</v>
      </c>
      <c r="AB79" s="286">
        <f t="shared" si="13"/>
        <v>54.033957990314491</v>
      </c>
      <c r="AC79" s="286">
        <f t="shared" si="13"/>
        <v>106.03395799031455</v>
      </c>
      <c r="AD79" s="286">
        <f t="shared" si="13"/>
        <v>158.0339579903146</v>
      </c>
      <c r="AE79" s="286">
        <f t="shared" si="13"/>
        <v>210.03395799031455</v>
      </c>
      <c r="AG79" s="288">
        <v>0.65</v>
      </c>
      <c r="AH79" s="286">
        <f t="shared" si="11"/>
        <v>-615.70708401937088</v>
      </c>
      <c r="AI79" s="286">
        <f t="shared" si="11"/>
        <v>-577.6820840193709</v>
      </c>
      <c r="AJ79" s="286">
        <f t="shared" si="11"/>
        <v>-535.4320840193709</v>
      </c>
      <c r="AK79" s="286">
        <f t="shared" si="11"/>
        <v>-493.1820840193709</v>
      </c>
      <c r="AL79" s="286">
        <f t="shared" si="11"/>
        <v>-450.9320840193709</v>
      </c>
      <c r="AM79" s="286">
        <f t="shared" si="11"/>
        <v>-408.6820840193709</v>
      </c>
      <c r="AN79" s="286">
        <f t="shared" si="11"/>
        <v>-366.4320840193709</v>
      </c>
      <c r="AO79" s="286">
        <f t="shared" si="11"/>
        <v>-324.1820840193709</v>
      </c>
      <c r="AP79" s="286">
        <f t="shared" si="11"/>
        <v>-281.9320840193709</v>
      </c>
      <c r="AQ79" s="286">
        <f t="shared" si="11"/>
        <v>-239.68208401937085</v>
      </c>
      <c r="AR79" s="286">
        <f t="shared" si="11"/>
        <v>-197.4320840193709</v>
      </c>
    </row>
    <row r="80" spans="7:44" x14ac:dyDescent="0.25">
      <c r="G80" s="288">
        <v>0.7</v>
      </c>
      <c r="H80" s="286">
        <f t="shared" si="12"/>
        <v>-614.33208401937088</v>
      </c>
      <c r="I80" s="286">
        <f t="shared" si="12"/>
        <v>-563.9320840193709</v>
      </c>
      <c r="J80" s="286">
        <f t="shared" si="12"/>
        <v>-507.9320840193709</v>
      </c>
      <c r="K80" s="286">
        <f t="shared" si="12"/>
        <v>-451.9320840193709</v>
      </c>
      <c r="L80" s="286">
        <f t="shared" si="12"/>
        <v>-395.9320840193709</v>
      </c>
      <c r="M80" s="286">
        <f t="shared" si="12"/>
        <v>-339.9320840193709</v>
      </c>
      <c r="N80" s="286">
        <f t="shared" si="12"/>
        <v>-283.9320840193709</v>
      </c>
      <c r="O80" s="286">
        <f t="shared" si="12"/>
        <v>-227.93208401937096</v>
      </c>
      <c r="P80" s="286">
        <f t="shared" si="12"/>
        <v>-171.93208401937096</v>
      </c>
      <c r="Q80" s="286">
        <f t="shared" si="12"/>
        <v>-115.9320840193709</v>
      </c>
      <c r="R80" s="286">
        <f t="shared" si="12"/>
        <v>-59.932084019370905</v>
      </c>
      <c r="T80" s="288">
        <v>0.7</v>
      </c>
      <c r="U80" s="286">
        <f t="shared" si="13"/>
        <v>-304.36604200968543</v>
      </c>
      <c r="V80" s="286">
        <f t="shared" si="13"/>
        <v>-253.96604200968545</v>
      </c>
      <c r="W80" s="286">
        <f t="shared" si="13"/>
        <v>-197.96604200968545</v>
      </c>
      <c r="X80" s="286">
        <f t="shared" si="13"/>
        <v>-141.96604200968545</v>
      </c>
      <c r="Y80" s="286">
        <f t="shared" si="13"/>
        <v>-85.966042009685481</v>
      </c>
      <c r="Z80" s="286">
        <f t="shared" si="13"/>
        <v>-29.966042009685452</v>
      </c>
      <c r="AA80" s="286">
        <f t="shared" si="13"/>
        <v>26.033957990314548</v>
      </c>
      <c r="AB80" s="286">
        <f t="shared" si="13"/>
        <v>82.033957990314491</v>
      </c>
      <c r="AC80" s="286">
        <f t="shared" si="13"/>
        <v>138.03395799031449</v>
      </c>
      <c r="AD80" s="286">
        <f t="shared" si="13"/>
        <v>194.03395799031455</v>
      </c>
      <c r="AE80" s="286">
        <f t="shared" si="13"/>
        <v>250.03395799031455</v>
      </c>
      <c r="AG80" s="288">
        <v>0.7</v>
      </c>
      <c r="AH80" s="286">
        <f t="shared" si="11"/>
        <v>-615.38208401937095</v>
      </c>
      <c r="AI80" s="286">
        <f t="shared" si="11"/>
        <v>-574.4320840193709</v>
      </c>
      <c r="AJ80" s="286">
        <f t="shared" si="11"/>
        <v>-528.9320840193709</v>
      </c>
      <c r="AK80" s="286">
        <f t="shared" si="11"/>
        <v>-483.4320840193709</v>
      </c>
      <c r="AL80" s="286">
        <f t="shared" si="11"/>
        <v>-437.9320840193709</v>
      </c>
      <c r="AM80" s="286">
        <f t="shared" si="11"/>
        <v>-392.4320840193709</v>
      </c>
      <c r="AN80" s="286">
        <f t="shared" si="11"/>
        <v>-346.9320840193709</v>
      </c>
      <c r="AO80" s="286">
        <f t="shared" si="11"/>
        <v>-301.43208401937096</v>
      </c>
      <c r="AP80" s="286">
        <f t="shared" si="11"/>
        <v>-255.93208401937096</v>
      </c>
      <c r="AQ80" s="286">
        <f t="shared" si="11"/>
        <v>-210.4320840193709</v>
      </c>
      <c r="AR80" s="286">
        <f t="shared" si="11"/>
        <v>-164.93208401937096</v>
      </c>
    </row>
    <row r="81" spans="7:44" x14ac:dyDescent="0.25">
      <c r="G81" s="288">
        <v>0.75</v>
      </c>
      <c r="H81" s="286">
        <f t="shared" si="12"/>
        <v>-613.9320840193709</v>
      </c>
      <c r="I81" s="286">
        <f t="shared" si="12"/>
        <v>-559.9320840193709</v>
      </c>
      <c r="J81" s="286">
        <f t="shared" si="12"/>
        <v>-499.9320840193709</v>
      </c>
      <c r="K81" s="286">
        <f t="shared" si="12"/>
        <v>-439.9320840193709</v>
      </c>
      <c r="L81" s="286">
        <f t="shared" si="12"/>
        <v>-379.9320840193709</v>
      </c>
      <c r="M81" s="286">
        <f t="shared" si="12"/>
        <v>-319.9320840193709</v>
      </c>
      <c r="N81" s="286">
        <f t="shared" si="12"/>
        <v>-259.93208401937096</v>
      </c>
      <c r="O81" s="286">
        <f t="shared" si="12"/>
        <v>-199.93208401937096</v>
      </c>
      <c r="P81" s="286">
        <f t="shared" si="12"/>
        <v>-139.93208401937085</v>
      </c>
      <c r="Q81" s="286">
        <f t="shared" si="12"/>
        <v>-79.932084019370905</v>
      </c>
      <c r="R81" s="286">
        <f t="shared" si="12"/>
        <v>-19.932084019370905</v>
      </c>
      <c r="T81" s="288">
        <v>0.75</v>
      </c>
      <c r="U81" s="286">
        <f t="shared" si="13"/>
        <v>-303.96604200968545</v>
      </c>
      <c r="V81" s="286">
        <f t="shared" si="13"/>
        <v>-249.96604200968545</v>
      </c>
      <c r="W81" s="286">
        <f t="shared" si="13"/>
        <v>-189.96604200968545</v>
      </c>
      <c r="X81" s="286">
        <f t="shared" si="13"/>
        <v>-129.96604200968548</v>
      </c>
      <c r="Y81" s="286">
        <f t="shared" si="13"/>
        <v>-69.966042009685424</v>
      </c>
      <c r="Z81" s="286">
        <f t="shared" si="13"/>
        <v>-9.9660420096854523</v>
      </c>
      <c r="AA81" s="286">
        <f t="shared" si="13"/>
        <v>50.033957990314491</v>
      </c>
      <c r="AB81" s="286">
        <f t="shared" si="13"/>
        <v>110.03395799031449</v>
      </c>
      <c r="AC81" s="286">
        <f t="shared" si="13"/>
        <v>170.0339579903146</v>
      </c>
      <c r="AD81" s="286">
        <f t="shared" si="13"/>
        <v>230.03395799031455</v>
      </c>
      <c r="AE81" s="286">
        <f t="shared" si="13"/>
        <v>290.03395799031455</v>
      </c>
      <c r="AG81" s="288">
        <v>0.75</v>
      </c>
      <c r="AH81" s="286">
        <f t="shared" si="11"/>
        <v>-615.0570840193709</v>
      </c>
      <c r="AI81" s="286">
        <f t="shared" si="11"/>
        <v>-571.1820840193709</v>
      </c>
      <c r="AJ81" s="286">
        <f t="shared" si="11"/>
        <v>-522.4320840193709</v>
      </c>
      <c r="AK81" s="286">
        <f t="shared" si="11"/>
        <v>-473.6820840193709</v>
      </c>
      <c r="AL81" s="286">
        <f t="shared" si="11"/>
        <v>-424.9320840193709</v>
      </c>
      <c r="AM81" s="286">
        <f t="shared" si="11"/>
        <v>-376.1820840193709</v>
      </c>
      <c r="AN81" s="286">
        <f t="shared" si="11"/>
        <v>-327.43208401937096</v>
      </c>
      <c r="AO81" s="286">
        <f t="shared" si="11"/>
        <v>-278.68208401937096</v>
      </c>
      <c r="AP81" s="286">
        <f t="shared" si="11"/>
        <v>-229.93208401937085</v>
      </c>
      <c r="AQ81" s="286">
        <f t="shared" si="11"/>
        <v>-181.18208401937085</v>
      </c>
      <c r="AR81" s="286">
        <f t="shared" si="11"/>
        <v>-132.4320840193709</v>
      </c>
    </row>
    <row r="82" spans="7:44" x14ac:dyDescent="0.25">
      <c r="G82" s="288">
        <v>0.8</v>
      </c>
      <c r="H82" s="286">
        <f t="shared" si="12"/>
        <v>-613.53208401937093</v>
      </c>
      <c r="I82" s="286">
        <f t="shared" si="12"/>
        <v>-555.9320840193709</v>
      </c>
      <c r="J82" s="286">
        <f t="shared" si="12"/>
        <v>-491.9320840193709</v>
      </c>
      <c r="K82" s="286">
        <f t="shared" si="12"/>
        <v>-427.9320840193709</v>
      </c>
      <c r="L82" s="286">
        <f t="shared" si="12"/>
        <v>-363.93208401937085</v>
      </c>
      <c r="M82" s="286">
        <f t="shared" si="12"/>
        <v>-299.9320840193709</v>
      </c>
      <c r="N82" s="286">
        <f t="shared" si="12"/>
        <v>-235.9320840193709</v>
      </c>
      <c r="O82" s="286">
        <f t="shared" si="12"/>
        <v>-171.93208401937096</v>
      </c>
      <c r="P82" s="286">
        <f t="shared" si="12"/>
        <v>-107.93208401937079</v>
      </c>
      <c r="Q82" s="286">
        <f t="shared" si="12"/>
        <v>-43.932084019370791</v>
      </c>
      <c r="R82" s="286">
        <f t="shared" si="12"/>
        <v>20.067915980629095</v>
      </c>
      <c r="T82" s="288">
        <v>0.8</v>
      </c>
      <c r="U82" s="286">
        <f t="shared" si="13"/>
        <v>-303.56604200968548</v>
      </c>
      <c r="V82" s="286">
        <f t="shared" si="13"/>
        <v>-245.96604200968545</v>
      </c>
      <c r="W82" s="286">
        <f t="shared" si="13"/>
        <v>-181.96604200968542</v>
      </c>
      <c r="X82" s="286">
        <f t="shared" si="13"/>
        <v>-117.96604200968545</v>
      </c>
      <c r="Y82" s="286">
        <f t="shared" si="13"/>
        <v>-53.966042009685395</v>
      </c>
      <c r="Z82" s="286">
        <f t="shared" si="13"/>
        <v>10.033957990314548</v>
      </c>
      <c r="AA82" s="286">
        <f t="shared" si="13"/>
        <v>74.033957990314548</v>
      </c>
      <c r="AB82" s="286">
        <f t="shared" si="13"/>
        <v>138.03395799031449</v>
      </c>
      <c r="AC82" s="286">
        <f t="shared" si="13"/>
        <v>202.03395799031466</v>
      </c>
      <c r="AD82" s="286">
        <f t="shared" si="13"/>
        <v>266.03395799031466</v>
      </c>
      <c r="AE82" s="286">
        <f t="shared" si="13"/>
        <v>330.03395799031455</v>
      </c>
      <c r="AG82" s="288">
        <v>0.8</v>
      </c>
      <c r="AH82" s="286">
        <f t="shared" si="11"/>
        <v>-614.73208401937086</v>
      </c>
      <c r="AI82" s="286">
        <f t="shared" si="11"/>
        <v>-567.9320840193709</v>
      </c>
      <c r="AJ82" s="286">
        <f t="shared" si="11"/>
        <v>-515.9320840193709</v>
      </c>
      <c r="AK82" s="286">
        <f t="shared" si="11"/>
        <v>-463.9320840193709</v>
      </c>
      <c r="AL82" s="286">
        <f t="shared" si="11"/>
        <v>-411.9320840193709</v>
      </c>
      <c r="AM82" s="286">
        <f t="shared" si="11"/>
        <v>-359.9320840193709</v>
      </c>
      <c r="AN82" s="286">
        <f t="shared" si="11"/>
        <v>-307.9320840193709</v>
      </c>
      <c r="AO82" s="286">
        <f t="shared" si="11"/>
        <v>-255.93208401937096</v>
      </c>
      <c r="AP82" s="286">
        <f t="shared" si="11"/>
        <v>-203.93208401937085</v>
      </c>
      <c r="AQ82" s="286">
        <f t="shared" si="11"/>
        <v>-151.93208401937085</v>
      </c>
      <c r="AR82" s="286">
        <f t="shared" si="11"/>
        <v>-99.932084019370905</v>
      </c>
    </row>
    <row r="83" spans="7:44" x14ac:dyDescent="0.25">
      <c r="G83" s="288">
        <v>0.85</v>
      </c>
      <c r="H83" s="286">
        <f t="shared" si="12"/>
        <v>-613.13208401937095</v>
      </c>
      <c r="I83" s="286">
        <f t="shared" si="12"/>
        <v>-551.9320840193709</v>
      </c>
      <c r="J83" s="286">
        <f t="shared" si="12"/>
        <v>-483.9320840193709</v>
      </c>
      <c r="K83" s="286">
        <f t="shared" si="12"/>
        <v>-415.9320840193709</v>
      </c>
      <c r="L83" s="286">
        <f t="shared" si="12"/>
        <v>-347.9320840193709</v>
      </c>
      <c r="M83" s="286">
        <f t="shared" si="12"/>
        <v>-279.9320840193709</v>
      </c>
      <c r="N83" s="286">
        <f t="shared" si="12"/>
        <v>-211.9320840193709</v>
      </c>
      <c r="O83" s="286">
        <f t="shared" si="12"/>
        <v>-143.9320840193709</v>
      </c>
      <c r="P83" s="286">
        <f t="shared" si="12"/>
        <v>-75.932084019370905</v>
      </c>
      <c r="Q83" s="286">
        <f t="shared" si="12"/>
        <v>-7.9320840193709046</v>
      </c>
      <c r="R83" s="286">
        <f t="shared" si="12"/>
        <v>60.067915980629095</v>
      </c>
      <c r="T83" s="288">
        <v>0.85</v>
      </c>
      <c r="U83" s="286">
        <f t="shared" si="13"/>
        <v>-303.16604200968544</v>
      </c>
      <c r="V83" s="286">
        <f t="shared" si="13"/>
        <v>-241.96604200968545</v>
      </c>
      <c r="W83" s="286">
        <f t="shared" si="13"/>
        <v>-173.96604200968545</v>
      </c>
      <c r="X83" s="286">
        <f t="shared" si="13"/>
        <v>-105.96604200968545</v>
      </c>
      <c r="Y83" s="286">
        <f t="shared" si="13"/>
        <v>-37.966042009685452</v>
      </c>
      <c r="Z83" s="286">
        <f t="shared" si="13"/>
        <v>30.033957990314548</v>
      </c>
      <c r="AA83" s="286">
        <f t="shared" si="13"/>
        <v>98.033957990314548</v>
      </c>
      <c r="AB83" s="286">
        <f t="shared" si="13"/>
        <v>166.03395799031455</v>
      </c>
      <c r="AC83" s="286">
        <f t="shared" si="13"/>
        <v>234.03395799031455</v>
      </c>
      <c r="AD83" s="286">
        <f t="shared" si="13"/>
        <v>302.03395799031455</v>
      </c>
      <c r="AE83" s="286">
        <f t="shared" si="13"/>
        <v>370.03395799031455</v>
      </c>
      <c r="AG83" s="288">
        <v>0.85</v>
      </c>
      <c r="AH83" s="286">
        <f t="shared" si="11"/>
        <v>-614.40708401937093</v>
      </c>
      <c r="AI83" s="286">
        <f t="shared" si="11"/>
        <v>-564.6820840193709</v>
      </c>
      <c r="AJ83" s="286">
        <f t="shared" si="11"/>
        <v>-509.4320840193709</v>
      </c>
      <c r="AK83" s="286">
        <f t="shared" si="11"/>
        <v>-454.1820840193709</v>
      </c>
      <c r="AL83" s="286">
        <f t="shared" si="11"/>
        <v>-398.9320840193709</v>
      </c>
      <c r="AM83" s="286">
        <f t="shared" si="11"/>
        <v>-343.6820840193709</v>
      </c>
      <c r="AN83" s="286">
        <f t="shared" si="11"/>
        <v>-288.4320840193709</v>
      </c>
      <c r="AO83" s="286">
        <f t="shared" si="11"/>
        <v>-233.1820840193709</v>
      </c>
      <c r="AP83" s="286">
        <f t="shared" si="11"/>
        <v>-177.93208401937085</v>
      </c>
      <c r="AQ83" s="286">
        <f t="shared" si="11"/>
        <v>-122.6820840193709</v>
      </c>
      <c r="AR83" s="286">
        <f t="shared" si="11"/>
        <v>-67.432084019370905</v>
      </c>
    </row>
    <row r="84" spans="7:44" x14ac:dyDescent="0.25">
      <c r="G84" s="288">
        <v>0.9</v>
      </c>
      <c r="H84" s="286">
        <f t="shared" si="12"/>
        <v>-612.73208401937086</v>
      </c>
      <c r="I84" s="286">
        <f t="shared" si="12"/>
        <v>-547.9320840193709</v>
      </c>
      <c r="J84" s="286">
        <f t="shared" si="12"/>
        <v>-475.9320840193709</v>
      </c>
      <c r="K84" s="286">
        <f t="shared" si="12"/>
        <v>-403.9320840193709</v>
      </c>
      <c r="L84" s="286">
        <f t="shared" si="12"/>
        <v>-331.93208401937085</v>
      </c>
      <c r="M84" s="286">
        <f t="shared" si="12"/>
        <v>-259.9320840193709</v>
      </c>
      <c r="N84" s="286">
        <f t="shared" si="12"/>
        <v>-187.9320840193709</v>
      </c>
      <c r="O84" s="286">
        <f t="shared" si="12"/>
        <v>-115.9320840193709</v>
      </c>
      <c r="P84" s="286">
        <f t="shared" si="12"/>
        <v>-43.932084019370791</v>
      </c>
      <c r="Q84" s="286">
        <f t="shared" si="12"/>
        <v>28.067915980629095</v>
      </c>
      <c r="R84" s="286">
        <f t="shared" si="12"/>
        <v>100.0679159806291</v>
      </c>
      <c r="T84" s="288">
        <v>0.9</v>
      </c>
      <c r="U84" s="286">
        <f t="shared" si="13"/>
        <v>-302.76604200968546</v>
      </c>
      <c r="V84" s="286">
        <f t="shared" si="13"/>
        <v>-237.96604200968545</v>
      </c>
      <c r="W84" s="286">
        <f t="shared" si="13"/>
        <v>-165.96604200968542</v>
      </c>
      <c r="X84" s="286">
        <f t="shared" si="13"/>
        <v>-93.966042009685452</v>
      </c>
      <c r="Y84" s="286">
        <f t="shared" si="13"/>
        <v>-21.966042009685395</v>
      </c>
      <c r="Z84" s="286">
        <f t="shared" si="13"/>
        <v>50.033957990314548</v>
      </c>
      <c r="AA84" s="286">
        <f t="shared" si="13"/>
        <v>122.03395799031455</v>
      </c>
      <c r="AB84" s="286">
        <f t="shared" si="13"/>
        <v>194.03395799031455</v>
      </c>
      <c r="AC84" s="286">
        <f t="shared" si="13"/>
        <v>266.03395799031466</v>
      </c>
      <c r="AD84" s="286">
        <f t="shared" si="13"/>
        <v>338.03395799031455</v>
      </c>
      <c r="AE84" s="286">
        <f t="shared" si="13"/>
        <v>410.03395799031455</v>
      </c>
      <c r="AG84" s="288">
        <v>0.9</v>
      </c>
      <c r="AH84" s="286">
        <f t="shared" si="11"/>
        <v>-614.08208401937088</v>
      </c>
      <c r="AI84" s="286">
        <f t="shared" si="11"/>
        <v>-561.4320840193709</v>
      </c>
      <c r="AJ84" s="286">
        <f t="shared" si="11"/>
        <v>-502.9320840193709</v>
      </c>
      <c r="AK84" s="286">
        <f t="shared" si="11"/>
        <v>-444.4320840193709</v>
      </c>
      <c r="AL84" s="286">
        <f t="shared" si="11"/>
        <v>-385.9320840193709</v>
      </c>
      <c r="AM84" s="286">
        <f t="shared" si="11"/>
        <v>-327.4320840193709</v>
      </c>
      <c r="AN84" s="286">
        <f t="shared" si="11"/>
        <v>-268.9320840193709</v>
      </c>
      <c r="AO84" s="286">
        <f t="shared" si="11"/>
        <v>-210.4320840193709</v>
      </c>
      <c r="AP84" s="286">
        <f t="shared" si="11"/>
        <v>-151.93208401937085</v>
      </c>
      <c r="AQ84" s="286">
        <f t="shared" si="11"/>
        <v>-93.432084019370905</v>
      </c>
      <c r="AR84" s="286">
        <f t="shared" si="11"/>
        <v>-34.932084019370905</v>
      </c>
    </row>
    <row r="85" spans="7:44" x14ac:dyDescent="0.25">
      <c r="G85" s="288">
        <v>0.95</v>
      </c>
      <c r="H85" s="286">
        <f t="shared" si="12"/>
        <v>-612.33208401937088</v>
      </c>
      <c r="I85" s="286">
        <f t="shared" si="12"/>
        <v>-543.9320840193709</v>
      </c>
      <c r="J85" s="286">
        <f t="shared" si="12"/>
        <v>-467.9320840193709</v>
      </c>
      <c r="K85" s="286">
        <f t="shared" si="12"/>
        <v>-391.9320840193709</v>
      </c>
      <c r="L85" s="286">
        <f t="shared" si="12"/>
        <v>-315.9320840193709</v>
      </c>
      <c r="M85" s="286">
        <f t="shared" si="12"/>
        <v>-239.9320840193709</v>
      </c>
      <c r="N85" s="286">
        <f t="shared" si="12"/>
        <v>-163.93208401937096</v>
      </c>
      <c r="O85" s="286">
        <f t="shared" si="12"/>
        <v>-87.932084019371018</v>
      </c>
      <c r="P85" s="286">
        <f t="shared" si="12"/>
        <v>-11.932084019370905</v>
      </c>
      <c r="Q85" s="286">
        <f t="shared" si="12"/>
        <v>64.067915980629095</v>
      </c>
      <c r="R85" s="286">
        <f t="shared" si="12"/>
        <v>140.0679159806291</v>
      </c>
      <c r="T85" s="288">
        <v>0.95</v>
      </c>
      <c r="U85" s="286">
        <f t="shared" si="13"/>
        <v>-302.36604200968543</v>
      </c>
      <c r="V85" s="286">
        <f t="shared" si="13"/>
        <v>-233.96604200968545</v>
      </c>
      <c r="W85" s="286">
        <f t="shared" si="13"/>
        <v>-157.96604200968545</v>
      </c>
      <c r="X85" s="286">
        <f t="shared" si="13"/>
        <v>-81.966042009685481</v>
      </c>
      <c r="Y85" s="286">
        <f t="shared" si="13"/>
        <v>-5.9660420096854523</v>
      </c>
      <c r="Z85" s="286">
        <f t="shared" si="13"/>
        <v>70.033957990314548</v>
      </c>
      <c r="AA85" s="286">
        <f t="shared" si="13"/>
        <v>146.03395799031449</v>
      </c>
      <c r="AB85" s="286">
        <f t="shared" si="13"/>
        <v>222.03395799031443</v>
      </c>
      <c r="AC85" s="286">
        <f t="shared" si="13"/>
        <v>298.03395799031455</v>
      </c>
      <c r="AD85" s="286">
        <f t="shared" si="13"/>
        <v>374.03395799031455</v>
      </c>
      <c r="AE85" s="286">
        <f t="shared" si="13"/>
        <v>450.03395799031455</v>
      </c>
      <c r="AG85" s="288">
        <v>0.95</v>
      </c>
      <c r="AH85" s="286">
        <f t="shared" si="11"/>
        <v>-613.75708401937095</v>
      </c>
      <c r="AI85" s="286">
        <f t="shared" si="11"/>
        <v>-558.1820840193709</v>
      </c>
      <c r="AJ85" s="286">
        <f t="shared" si="11"/>
        <v>-496.4320840193709</v>
      </c>
      <c r="AK85" s="286">
        <f t="shared" si="11"/>
        <v>-434.6820840193709</v>
      </c>
      <c r="AL85" s="286">
        <f t="shared" si="11"/>
        <v>-372.9320840193709</v>
      </c>
      <c r="AM85" s="286">
        <f t="shared" si="11"/>
        <v>-311.1820840193709</v>
      </c>
      <c r="AN85" s="286">
        <f t="shared" si="11"/>
        <v>-249.43208401937096</v>
      </c>
      <c r="AO85" s="286">
        <f t="shared" si="11"/>
        <v>-187.68208401937096</v>
      </c>
      <c r="AP85" s="286">
        <f t="shared" si="11"/>
        <v>-125.9320840193709</v>
      </c>
      <c r="AQ85" s="286">
        <f t="shared" si="11"/>
        <v>-64.182084019370905</v>
      </c>
      <c r="AR85" s="286">
        <f t="shared" si="11"/>
        <v>-2.4320840193709046</v>
      </c>
    </row>
    <row r="86" spans="7:44" ht="15.75" thickBot="1" x14ac:dyDescent="0.3">
      <c r="G86" s="287">
        <v>1</v>
      </c>
      <c r="H86" s="286">
        <f t="shared" si="12"/>
        <v>-611.9320840193709</v>
      </c>
      <c r="I86" s="286">
        <f t="shared" si="12"/>
        <v>-539.9320840193709</v>
      </c>
      <c r="J86" s="286">
        <f t="shared" si="12"/>
        <v>-459.9320840193709</v>
      </c>
      <c r="K86" s="286">
        <f t="shared" si="12"/>
        <v>-379.9320840193709</v>
      </c>
      <c r="L86" s="286">
        <f t="shared" si="12"/>
        <v>-299.9320840193709</v>
      </c>
      <c r="M86" s="286">
        <f t="shared" si="12"/>
        <v>-219.9320840193709</v>
      </c>
      <c r="N86" s="286">
        <f t="shared" si="12"/>
        <v>-139.9320840193709</v>
      </c>
      <c r="O86" s="286">
        <f t="shared" si="12"/>
        <v>-59.932084019370905</v>
      </c>
      <c r="P86" s="286">
        <f t="shared" si="12"/>
        <v>20.067915980629095</v>
      </c>
      <c r="Q86" s="286">
        <f t="shared" si="12"/>
        <v>100.0679159806291</v>
      </c>
      <c r="R86" s="286">
        <f t="shared" si="12"/>
        <v>180.0679159806291</v>
      </c>
      <c r="T86" s="287">
        <v>1</v>
      </c>
      <c r="U86" s="286">
        <f t="shared" si="13"/>
        <v>-301.96604200968545</v>
      </c>
      <c r="V86" s="286">
        <f t="shared" si="13"/>
        <v>-229.96604200968545</v>
      </c>
      <c r="W86" s="286">
        <f t="shared" si="13"/>
        <v>-149.96604200968545</v>
      </c>
      <c r="X86" s="286">
        <f t="shared" si="13"/>
        <v>-69.966042009685452</v>
      </c>
      <c r="Y86" s="286">
        <f t="shared" si="13"/>
        <v>10.033957990314548</v>
      </c>
      <c r="Z86" s="286">
        <f t="shared" si="13"/>
        <v>90.033957990314548</v>
      </c>
      <c r="AA86" s="286">
        <f t="shared" si="13"/>
        <v>170.03395799031455</v>
      </c>
      <c r="AB86" s="286">
        <f t="shared" si="13"/>
        <v>250.03395799031455</v>
      </c>
      <c r="AC86" s="286">
        <f t="shared" si="13"/>
        <v>330.03395799031455</v>
      </c>
      <c r="AD86" s="286">
        <f t="shared" si="13"/>
        <v>410.03395799031455</v>
      </c>
      <c r="AE86" s="286">
        <f t="shared" si="13"/>
        <v>490.03395799031455</v>
      </c>
      <c r="AG86" s="287">
        <v>1</v>
      </c>
      <c r="AH86" s="286">
        <f t="shared" si="11"/>
        <v>-613.4320840193709</v>
      </c>
      <c r="AI86" s="286">
        <f t="shared" si="11"/>
        <v>-554.9320840193709</v>
      </c>
      <c r="AJ86" s="286">
        <f t="shared" si="11"/>
        <v>-489.9320840193709</v>
      </c>
      <c r="AK86" s="286">
        <f t="shared" si="11"/>
        <v>-424.9320840193709</v>
      </c>
      <c r="AL86" s="286">
        <f t="shared" si="11"/>
        <v>-359.9320840193709</v>
      </c>
      <c r="AM86" s="286">
        <f t="shared" si="11"/>
        <v>-294.9320840193709</v>
      </c>
      <c r="AN86" s="286">
        <f t="shared" si="11"/>
        <v>-229.9320840193709</v>
      </c>
      <c r="AO86" s="286">
        <f t="shared" si="11"/>
        <v>-164.93208401937096</v>
      </c>
      <c r="AP86" s="286">
        <f t="shared" si="11"/>
        <v>-99.932084019370905</v>
      </c>
      <c r="AQ86" s="286">
        <f t="shared" si="11"/>
        <v>-34.932084019370905</v>
      </c>
      <c r="AR86" s="286">
        <f t="shared" si="11"/>
        <v>30.067915980629095</v>
      </c>
    </row>
    <row r="90" spans="7:44" x14ac:dyDescent="0.25">
      <c r="G90" s="340" t="s">
        <v>287</v>
      </c>
      <c r="H90" s="340"/>
      <c r="I90" s="340"/>
      <c r="J90" s="340"/>
      <c r="K90" s="340"/>
      <c r="L90" s="340"/>
      <c r="M90" s="340"/>
      <c r="N90" s="340"/>
      <c r="O90" s="340"/>
      <c r="P90" s="340"/>
      <c r="Q90" s="340"/>
      <c r="R90" s="340"/>
      <c r="T90" s="340" t="str">
        <f>CONCATENATE("Range Riding", TEXT($C$32," (0%")," Subsidy)")</f>
        <v>Range Riding (50% Subsidy)</v>
      </c>
      <c r="U90" s="340"/>
      <c r="V90" s="340"/>
      <c r="W90" s="340"/>
      <c r="X90" s="340"/>
      <c r="Y90" s="340"/>
      <c r="Z90" s="340"/>
      <c r="AA90" s="340"/>
      <c r="AB90" s="340"/>
      <c r="AC90" s="340"/>
      <c r="AD90" s="340"/>
      <c r="AE90" s="340"/>
      <c r="AG90" s="340" t="str">
        <f>CONCATENATE("Range Riding", TEXT($C$33," (0%")," Livestock Compensation)")</f>
        <v>Range Riding (25% Livestock Compensation)</v>
      </c>
      <c r="AH90" s="340"/>
      <c r="AI90" s="340"/>
      <c r="AJ90" s="340"/>
      <c r="AK90" s="340"/>
      <c r="AL90" s="340"/>
      <c r="AM90" s="340"/>
      <c r="AN90" s="340"/>
      <c r="AO90" s="340"/>
      <c r="AP90" s="340"/>
      <c r="AQ90" s="340"/>
      <c r="AR90" s="340"/>
    </row>
    <row r="91" spans="7:44" ht="15.75" thickBot="1" x14ac:dyDescent="0.3">
      <c r="G91" s="344"/>
      <c r="H91" s="344"/>
      <c r="I91" s="344"/>
      <c r="J91" s="344"/>
      <c r="K91" s="344"/>
      <c r="L91" s="344"/>
      <c r="M91" s="344"/>
      <c r="N91" s="344"/>
      <c r="O91" s="344"/>
      <c r="P91" s="344"/>
      <c r="Q91" s="344"/>
      <c r="R91" s="344"/>
      <c r="T91" s="344"/>
      <c r="U91" s="344"/>
      <c r="V91" s="344"/>
      <c r="W91" s="344"/>
      <c r="X91" s="344"/>
      <c r="Y91" s="344"/>
      <c r="Z91" s="344"/>
      <c r="AA91" s="344"/>
      <c r="AB91" s="344"/>
      <c r="AC91" s="344"/>
      <c r="AD91" s="344"/>
      <c r="AE91" s="344"/>
      <c r="AG91" s="344"/>
      <c r="AH91" s="344"/>
      <c r="AI91" s="344"/>
      <c r="AJ91" s="344"/>
      <c r="AK91" s="344"/>
      <c r="AL91" s="344"/>
      <c r="AM91" s="344"/>
      <c r="AN91" s="344"/>
      <c r="AO91" s="344"/>
      <c r="AP91" s="344"/>
      <c r="AQ91" s="344"/>
      <c r="AR91" s="344"/>
    </row>
    <row r="92" spans="7:44" ht="15.75" thickBot="1" x14ac:dyDescent="0.3">
      <c r="G92" s="292" t="s">
        <v>282</v>
      </c>
      <c r="H92" s="291">
        <v>0.01</v>
      </c>
      <c r="I92" s="291">
        <v>0.1</v>
      </c>
      <c r="J92" s="291">
        <v>0.2</v>
      </c>
      <c r="K92" s="291">
        <v>0.3</v>
      </c>
      <c r="L92" s="291">
        <v>0.4</v>
      </c>
      <c r="M92" s="291">
        <v>0.5</v>
      </c>
      <c r="N92" s="291">
        <v>0.6</v>
      </c>
      <c r="O92" s="291">
        <v>0.7</v>
      </c>
      <c r="P92" s="291">
        <v>0.8</v>
      </c>
      <c r="Q92" s="291">
        <v>0.9</v>
      </c>
      <c r="R92" s="290">
        <v>1</v>
      </c>
      <c r="T92" s="292" t="s">
        <v>282</v>
      </c>
      <c r="U92" s="291">
        <v>0.01</v>
      </c>
      <c r="V92" s="291">
        <v>0.1</v>
      </c>
      <c r="W92" s="291">
        <v>0.2</v>
      </c>
      <c r="X92" s="291">
        <v>0.3</v>
      </c>
      <c r="Y92" s="291">
        <v>0.4</v>
      </c>
      <c r="Z92" s="291">
        <v>0.5</v>
      </c>
      <c r="AA92" s="291">
        <v>0.6</v>
      </c>
      <c r="AB92" s="291">
        <v>0.7</v>
      </c>
      <c r="AC92" s="291">
        <v>0.8</v>
      </c>
      <c r="AD92" s="291">
        <v>0.9</v>
      </c>
      <c r="AE92" s="290">
        <v>1</v>
      </c>
      <c r="AG92" s="292" t="s">
        <v>282</v>
      </c>
      <c r="AH92" s="291">
        <v>0.01</v>
      </c>
      <c r="AI92" s="291">
        <v>0.1</v>
      </c>
      <c r="AJ92" s="291">
        <v>0.2</v>
      </c>
      <c r="AK92" s="291">
        <v>0.3</v>
      </c>
      <c r="AL92" s="291">
        <v>0.4</v>
      </c>
      <c r="AM92" s="291">
        <v>0.5</v>
      </c>
      <c r="AN92" s="291">
        <v>0.6</v>
      </c>
      <c r="AO92" s="291">
        <v>0.7</v>
      </c>
      <c r="AP92" s="291">
        <v>0.8</v>
      </c>
      <c r="AQ92" s="291">
        <v>0.9</v>
      </c>
      <c r="AR92" s="290">
        <v>1</v>
      </c>
    </row>
    <row r="93" spans="7:44" ht="30" x14ac:dyDescent="0.25">
      <c r="G93" s="289" t="s">
        <v>281</v>
      </c>
      <c r="T93" s="289" t="s">
        <v>281</v>
      </c>
      <c r="AG93" s="289" t="s">
        <v>281</v>
      </c>
    </row>
    <row r="94" spans="7:44" x14ac:dyDescent="0.25">
      <c r="G94" s="288">
        <v>0</v>
      </c>
      <c r="H94" s="286">
        <f t="shared" ref="H94:R103" si="14">(((H$92*$G94)*($C$21+$C$23))-($C$27-($C$27*$C$31)))</f>
        <v>-5892.3199055253717</v>
      </c>
      <c r="I94" s="286">
        <f t="shared" si="14"/>
        <v>-5892.3199055253717</v>
      </c>
      <c r="J94" s="286">
        <f t="shared" si="14"/>
        <v>-5892.3199055253717</v>
      </c>
      <c r="K94" s="286">
        <f t="shared" si="14"/>
        <v>-5892.3199055253717</v>
      </c>
      <c r="L94" s="286">
        <f t="shared" si="14"/>
        <v>-5892.3199055253717</v>
      </c>
      <c r="M94" s="286">
        <f t="shared" si="14"/>
        <v>-5892.3199055253717</v>
      </c>
      <c r="N94" s="286">
        <f t="shared" si="14"/>
        <v>-5892.3199055253717</v>
      </c>
      <c r="O94" s="286">
        <f t="shared" si="14"/>
        <v>-5892.3199055253717</v>
      </c>
      <c r="P94" s="286">
        <f t="shared" si="14"/>
        <v>-5892.3199055253717</v>
      </c>
      <c r="Q94" s="286">
        <f t="shared" si="14"/>
        <v>-5892.3199055253717</v>
      </c>
      <c r="R94" s="286">
        <f t="shared" si="14"/>
        <v>-5892.3199055253717</v>
      </c>
      <c r="T94" s="288">
        <v>0</v>
      </c>
      <c r="U94" s="286">
        <f t="shared" ref="U94:AE103" si="15">(((U$92*$T94)*($C$21+$C$23))-($C$27-($C$27*$C$32)))</f>
        <v>-2946.1599527626859</v>
      </c>
      <c r="V94" s="286">
        <f t="shared" si="15"/>
        <v>-2946.1599527626859</v>
      </c>
      <c r="W94" s="286">
        <f t="shared" si="15"/>
        <v>-2946.1599527626859</v>
      </c>
      <c r="X94" s="286">
        <f t="shared" si="15"/>
        <v>-2946.1599527626859</v>
      </c>
      <c r="Y94" s="286">
        <f t="shared" si="15"/>
        <v>-2946.1599527626859</v>
      </c>
      <c r="Z94" s="286">
        <f t="shared" si="15"/>
        <v>-2946.1599527626859</v>
      </c>
      <c r="AA94" s="286">
        <f t="shared" si="15"/>
        <v>-2946.1599527626859</v>
      </c>
      <c r="AB94" s="286">
        <f t="shared" si="15"/>
        <v>-2946.1599527626859</v>
      </c>
      <c r="AC94" s="286">
        <f t="shared" si="15"/>
        <v>-2946.1599527626859</v>
      </c>
      <c r="AD94" s="286">
        <f t="shared" si="15"/>
        <v>-2946.1599527626859</v>
      </c>
      <c r="AE94" s="286">
        <f t="shared" si="15"/>
        <v>-2946.1599527626859</v>
      </c>
      <c r="AG94" s="288">
        <v>0</v>
      </c>
      <c r="AH94" s="286">
        <f>(((AH$92*$AG94)*((1-$C$33)*$C$21+$C$23))-($C$27-($C$27*$C$31)))</f>
        <v>-5892.3199055253717</v>
      </c>
      <c r="AI94" s="286">
        <f t="shared" ref="AI94:AR94" si="16">(((AI$92*$AG94)*((1-$C$33)*$C$21+$C$23))-($C$27-($C$27*$C$31)))</f>
        <v>-5892.3199055253717</v>
      </c>
      <c r="AJ94" s="286">
        <f t="shared" si="16"/>
        <v>-5892.3199055253717</v>
      </c>
      <c r="AK94" s="286">
        <f t="shared" si="16"/>
        <v>-5892.3199055253717</v>
      </c>
      <c r="AL94" s="286">
        <f t="shared" si="16"/>
        <v>-5892.3199055253717</v>
      </c>
      <c r="AM94" s="286">
        <f t="shared" si="16"/>
        <v>-5892.3199055253717</v>
      </c>
      <c r="AN94" s="286">
        <f t="shared" si="16"/>
        <v>-5892.3199055253717</v>
      </c>
      <c r="AO94" s="286">
        <f t="shared" si="16"/>
        <v>-5892.3199055253717</v>
      </c>
      <c r="AP94" s="286">
        <f t="shared" si="16"/>
        <v>-5892.3199055253717</v>
      </c>
      <c r="AQ94" s="286">
        <f t="shared" si="16"/>
        <v>-5892.3199055253717</v>
      </c>
      <c r="AR94" s="286">
        <f t="shared" si="16"/>
        <v>-5892.3199055253717</v>
      </c>
    </row>
    <row r="95" spans="7:44" hidden="1" outlineLevel="1" x14ac:dyDescent="0.25">
      <c r="G95" s="288">
        <v>0.05</v>
      </c>
      <c r="H95" s="286">
        <f t="shared" si="14"/>
        <v>-5890.2199055253714</v>
      </c>
      <c r="I95" s="286">
        <f t="shared" si="14"/>
        <v>-5871.3199055253717</v>
      </c>
      <c r="J95" s="286">
        <f t="shared" si="14"/>
        <v>-5850.3199055253717</v>
      </c>
      <c r="K95" s="286">
        <f t="shared" si="14"/>
        <v>-5829.3199055253717</v>
      </c>
      <c r="L95" s="286">
        <f t="shared" si="14"/>
        <v>-5808.3199055253717</v>
      </c>
      <c r="M95" s="286">
        <f t="shared" si="14"/>
        <v>-5787.3199055253717</v>
      </c>
      <c r="N95" s="286">
        <f t="shared" si="14"/>
        <v>-5766.3199055253717</v>
      </c>
      <c r="O95" s="286">
        <f t="shared" si="14"/>
        <v>-5745.3199055253717</v>
      </c>
      <c r="P95" s="286">
        <f t="shared" si="14"/>
        <v>-5724.3199055253717</v>
      </c>
      <c r="Q95" s="286">
        <f t="shared" si="14"/>
        <v>-5703.3199055253717</v>
      </c>
      <c r="R95" s="286">
        <f t="shared" si="14"/>
        <v>-5682.3199055253717</v>
      </c>
      <c r="T95" s="288">
        <v>0.05</v>
      </c>
      <c r="U95" s="286">
        <f t="shared" si="15"/>
        <v>-2944.059952762686</v>
      </c>
      <c r="V95" s="286">
        <f t="shared" si="15"/>
        <v>-2925.1599527626859</v>
      </c>
      <c r="W95" s="286">
        <f t="shared" si="15"/>
        <v>-2904.1599527626859</v>
      </c>
      <c r="X95" s="286">
        <f t="shared" si="15"/>
        <v>-2883.1599527626859</v>
      </c>
      <c r="Y95" s="286">
        <f t="shared" si="15"/>
        <v>-2862.1599527626859</v>
      </c>
      <c r="Z95" s="286">
        <f t="shared" si="15"/>
        <v>-2841.1599527626859</v>
      </c>
      <c r="AA95" s="286">
        <f t="shared" si="15"/>
        <v>-2820.1599527626859</v>
      </c>
      <c r="AB95" s="286">
        <f t="shared" si="15"/>
        <v>-2799.1599527626859</v>
      </c>
      <c r="AC95" s="286">
        <f t="shared" si="15"/>
        <v>-2778.1599527626859</v>
      </c>
      <c r="AD95" s="286">
        <f t="shared" si="15"/>
        <v>-2757.1599527626859</v>
      </c>
      <c r="AE95" s="286">
        <f t="shared" si="15"/>
        <v>-2736.1599527626859</v>
      </c>
      <c r="AG95" s="288">
        <v>0.05</v>
      </c>
      <c r="AH95" s="286">
        <f t="shared" ref="AH95:AR114" si="17">(((AH$92*$AG95)*((1-$C$33)*$C$21+$C$23))-($C$27-($C$27*$C$31)))</f>
        <v>-5890.7199055253714</v>
      </c>
      <c r="AI95" s="286">
        <f t="shared" si="17"/>
        <v>-5876.3199055253717</v>
      </c>
      <c r="AJ95" s="286">
        <f t="shared" si="17"/>
        <v>-5860.3199055253717</v>
      </c>
      <c r="AK95" s="286">
        <f t="shared" si="17"/>
        <v>-5844.3199055253717</v>
      </c>
      <c r="AL95" s="286">
        <f t="shared" si="17"/>
        <v>-5828.3199055253717</v>
      </c>
      <c r="AM95" s="286">
        <f t="shared" si="17"/>
        <v>-5812.3199055253717</v>
      </c>
      <c r="AN95" s="286">
        <f t="shared" si="17"/>
        <v>-5796.3199055253717</v>
      </c>
      <c r="AO95" s="286">
        <f t="shared" si="17"/>
        <v>-5780.3199055253717</v>
      </c>
      <c r="AP95" s="286">
        <f t="shared" si="17"/>
        <v>-5764.3199055253717</v>
      </c>
      <c r="AQ95" s="286">
        <f t="shared" si="17"/>
        <v>-5748.3199055253717</v>
      </c>
      <c r="AR95" s="286">
        <f t="shared" si="17"/>
        <v>-5732.3199055253717</v>
      </c>
    </row>
    <row r="96" spans="7:44" hidden="1" outlineLevel="1" x14ac:dyDescent="0.25">
      <c r="G96" s="288">
        <v>0.1</v>
      </c>
      <c r="H96" s="286">
        <f t="shared" si="14"/>
        <v>-5888.1199055253719</v>
      </c>
      <c r="I96" s="286">
        <f t="shared" si="14"/>
        <v>-5850.3199055253717</v>
      </c>
      <c r="J96" s="286">
        <f t="shared" si="14"/>
        <v>-5808.3199055253717</v>
      </c>
      <c r="K96" s="286">
        <f t="shared" si="14"/>
        <v>-5766.3199055253717</v>
      </c>
      <c r="L96" s="286">
        <f t="shared" si="14"/>
        <v>-5724.3199055253717</v>
      </c>
      <c r="M96" s="286">
        <f t="shared" si="14"/>
        <v>-5682.3199055253717</v>
      </c>
      <c r="N96" s="286">
        <f t="shared" si="14"/>
        <v>-5640.3199055253717</v>
      </c>
      <c r="O96" s="286">
        <f t="shared" si="14"/>
        <v>-5598.3199055253717</v>
      </c>
      <c r="P96" s="286">
        <f t="shared" si="14"/>
        <v>-5556.3199055253717</v>
      </c>
      <c r="Q96" s="286">
        <f t="shared" si="14"/>
        <v>-5514.3199055253717</v>
      </c>
      <c r="R96" s="286">
        <f t="shared" si="14"/>
        <v>-5472.3199055253717</v>
      </c>
      <c r="T96" s="288">
        <v>0.1</v>
      </c>
      <c r="U96" s="286">
        <f t="shared" si="15"/>
        <v>-2941.959952762686</v>
      </c>
      <c r="V96" s="286">
        <f t="shared" si="15"/>
        <v>-2904.1599527626859</v>
      </c>
      <c r="W96" s="286">
        <f t="shared" si="15"/>
        <v>-2862.1599527626859</v>
      </c>
      <c r="X96" s="286">
        <f t="shared" si="15"/>
        <v>-2820.1599527626859</v>
      </c>
      <c r="Y96" s="286">
        <f t="shared" si="15"/>
        <v>-2778.1599527626859</v>
      </c>
      <c r="Z96" s="286">
        <f t="shared" si="15"/>
        <v>-2736.1599527626859</v>
      </c>
      <c r="AA96" s="286">
        <f t="shared" si="15"/>
        <v>-2694.1599527626859</v>
      </c>
      <c r="AB96" s="286">
        <f t="shared" si="15"/>
        <v>-2652.1599527626859</v>
      </c>
      <c r="AC96" s="286">
        <f t="shared" si="15"/>
        <v>-2610.1599527626859</v>
      </c>
      <c r="AD96" s="286">
        <f t="shared" si="15"/>
        <v>-2568.1599527626859</v>
      </c>
      <c r="AE96" s="286">
        <f t="shared" si="15"/>
        <v>-2526.1599527626859</v>
      </c>
      <c r="AG96" s="288">
        <v>0.1</v>
      </c>
      <c r="AH96" s="286">
        <f t="shared" si="17"/>
        <v>-5889.1199055253719</v>
      </c>
      <c r="AI96" s="286">
        <f t="shared" si="17"/>
        <v>-5860.3199055253717</v>
      </c>
      <c r="AJ96" s="286">
        <f t="shared" si="17"/>
        <v>-5828.3199055253717</v>
      </c>
      <c r="AK96" s="286">
        <f t="shared" si="17"/>
        <v>-5796.3199055253717</v>
      </c>
      <c r="AL96" s="286">
        <f t="shared" si="17"/>
        <v>-5764.3199055253717</v>
      </c>
      <c r="AM96" s="286">
        <f t="shared" si="17"/>
        <v>-5732.3199055253717</v>
      </c>
      <c r="AN96" s="286">
        <f t="shared" si="17"/>
        <v>-5700.3199055253717</v>
      </c>
      <c r="AO96" s="286">
        <f t="shared" si="17"/>
        <v>-5668.3199055253717</v>
      </c>
      <c r="AP96" s="286">
        <f t="shared" si="17"/>
        <v>-5636.3199055253717</v>
      </c>
      <c r="AQ96" s="286">
        <f t="shared" si="17"/>
        <v>-5604.3199055253717</v>
      </c>
      <c r="AR96" s="286">
        <f t="shared" si="17"/>
        <v>-5572.3199055253717</v>
      </c>
    </row>
    <row r="97" spans="7:44" hidden="1" outlineLevel="1" x14ac:dyDescent="0.25">
      <c r="G97" s="288">
        <v>0.15</v>
      </c>
      <c r="H97" s="286">
        <f t="shared" si="14"/>
        <v>-5886.0199055253715</v>
      </c>
      <c r="I97" s="286">
        <f t="shared" si="14"/>
        <v>-5829.3199055253717</v>
      </c>
      <c r="J97" s="286">
        <f t="shared" si="14"/>
        <v>-5766.3199055253717</v>
      </c>
      <c r="K97" s="286">
        <f t="shared" si="14"/>
        <v>-5703.3199055253717</v>
      </c>
      <c r="L97" s="286">
        <f t="shared" si="14"/>
        <v>-5640.3199055253717</v>
      </c>
      <c r="M97" s="286">
        <f t="shared" si="14"/>
        <v>-5577.3199055253717</v>
      </c>
      <c r="N97" s="286">
        <f t="shared" si="14"/>
        <v>-5514.3199055253717</v>
      </c>
      <c r="O97" s="286">
        <f t="shared" si="14"/>
        <v>-5451.3199055253717</v>
      </c>
      <c r="P97" s="286">
        <f t="shared" si="14"/>
        <v>-5388.3199055253717</v>
      </c>
      <c r="Q97" s="286">
        <f t="shared" si="14"/>
        <v>-5325.3199055253717</v>
      </c>
      <c r="R97" s="286">
        <f t="shared" si="14"/>
        <v>-5262.3199055253717</v>
      </c>
      <c r="T97" s="288">
        <v>0.15</v>
      </c>
      <c r="U97" s="286">
        <f t="shared" si="15"/>
        <v>-2939.8599527626857</v>
      </c>
      <c r="V97" s="286">
        <f t="shared" si="15"/>
        <v>-2883.1599527626859</v>
      </c>
      <c r="W97" s="286">
        <f t="shared" si="15"/>
        <v>-2820.1599527626859</v>
      </c>
      <c r="X97" s="286">
        <f t="shared" si="15"/>
        <v>-2757.1599527626859</v>
      </c>
      <c r="Y97" s="286">
        <f t="shared" si="15"/>
        <v>-2694.1599527626859</v>
      </c>
      <c r="Z97" s="286">
        <f t="shared" si="15"/>
        <v>-2631.1599527626859</v>
      </c>
      <c r="AA97" s="286">
        <f t="shared" si="15"/>
        <v>-2568.1599527626859</v>
      </c>
      <c r="AB97" s="286">
        <f t="shared" si="15"/>
        <v>-2505.1599527626859</v>
      </c>
      <c r="AC97" s="286">
        <f t="shared" si="15"/>
        <v>-2442.1599527626859</v>
      </c>
      <c r="AD97" s="286">
        <f t="shared" si="15"/>
        <v>-2379.1599527626859</v>
      </c>
      <c r="AE97" s="286">
        <f t="shared" si="15"/>
        <v>-2316.1599527626859</v>
      </c>
      <c r="AG97" s="288">
        <v>0.15</v>
      </c>
      <c r="AH97" s="286">
        <f t="shared" si="17"/>
        <v>-5887.5199055253715</v>
      </c>
      <c r="AI97" s="286">
        <f t="shared" si="17"/>
        <v>-5844.3199055253717</v>
      </c>
      <c r="AJ97" s="286">
        <f t="shared" si="17"/>
        <v>-5796.3199055253717</v>
      </c>
      <c r="AK97" s="286">
        <f t="shared" si="17"/>
        <v>-5748.3199055253717</v>
      </c>
      <c r="AL97" s="286">
        <f t="shared" si="17"/>
        <v>-5700.3199055253717</v>
      </c>
      <c r="AM97" s="286">
        <f t="shared" si="17"/>
        <v>-5652.3199055253717</v>
      </c>
      <c r="AN97" s="286">
        <f t="shared" si="17"/>
        <v>-5604.3199055253717</v>
      </c>
      <c r="AO97" s="286">
        <f t="shared" si="17"/>
        <v>-5556.3199055253717</v>
      </c>
      <c r="AP97" s="286">
        <f t="shared" si="17"/>
        <v>-5508.3199055253717</v>
      </c>
      <c r="AQ97" s="286">
        <f t="shared" si="17"/>
        <v>-5460.3199055253717</v>
      </c>
      <c r="AR97" s="286">
        <f t="shared" si="17"/>
        <v>-5412.3199055253717</v>
      </c>
    </row>
    <row r="98" spans="7:44" hidden="1" outlineLevel="1" x14ac:dyDescent="0.25">
      <c r="G98" s="288">
        <v>0.2</v>
      </c>
      <c r="H98" s="286">
        <f t="shared" si="14"/>
        <v>-5883.9199055253721</v>
      </c>
      <c r="I98" s="286">
        <f t="shared" si="14"/>
        <v>-5808.3199055253717</v>
      </c>
      <c r="J98" s="286">
        <f t="shared" si="14"/>
        <v>-5724.3199055253717</v>
      </c>
      <c r="K98" s="286">
        <f t="shared" si="14"/>
        <v>-5640.3199055253717</v>
      </c>
      <c r="L98" s="286">
        <f t="shared" si="14"/>
        <v>-5556.3199055253717</v>
      </c>
      <c r="M98" s="286">
        <f t="shared" si="14"/>
        <v>-5472.3199055253717</v>
      </c>
      <c r="N98" s="286">
        <f t="shared" si="14"/>
        <v>-5388.3199055253717</v>
      </c>
      <c r="O98" s="286">
        <f t="shared" si="14"/>
        <v>-5304.3199055253717</v>
      </c>
      <c r="P98" s="286">
        <f t="shared" si="14"/>
        <v>-5220.3199055253717</v>
      </c>
      <c r="Q98" s="286">
        <f t="shared" si="14"/>
        <v>-5136.3199055253717</v>
      </c>
      <c r="R98" s="286">
        <f t="shared" si="14"/>
        <v>-5052.3199055253717</v>
      </c>
      <c r="T98" s="288">
        <v>0.2</v>
      </c>
      <c r="U98" s="286">
        <f t="shared" si="15"/>
        <v>-2937.7599527626858</v>
      </c>
      <c r="V98" s="286">
        <f t="shared" si="15"/>
        <v>-2862.1599527626859</v>
      </c>
      <c r="W98" s="286">
        <f t="shared" si="15"/>
        <v>-2778.1599527626859</v>
      </c>
      <c r="X98" s="286">
        <f t="shared" si="15"/>
        <v>-2694.1599527626859</v>
      </c>
      <c r="Y98" s="286">
        <f t="shared" si="15"/>
        <v>-2610.1599527626859</v>
      </c>
      <c r="Z98" s="286">
        <f t="shared" si="15"/>
        <v>-2526.1599527626859</v>
      </c>
      <c r="AA98" s="286">
        <f t="shared" si="15"/>
        <v>-2442.1599527626859</v>
      </c>
      <c r="AB98" s="286">
        <f t="shared" si="15"/>
        <v>-2358.1599527626859</v>
      </c>
      <c r="AC98" s="286">
        <f t="shared" si="15"/>
        <v>-2274.1599527626859</v>
      </c>
      <c r="AD98" s="286">
        <f t="shared" si="15"/>
        <v>-2190.1599527626859</v>
      </c>
      <c r="AE98" s="286">
        <f t="shared" si="15"/>
        <v>-2106.1599527626859</v>
      </c>
      <c r="AG98" s="288">
        <v>0.2</v>
      </c>
      <c r="AH98" s="286">
        <f t="shared" si="17"/>
        <v>-5885.9199055253721</v>
      </c>
      <c r="AI98" s="286">
        <f t="shared" si="17"/>
        <v>-5828.3199055253717</v>
      </c>
      <c r="AJ98" s="286">
        <f t="shared" si="17"/>
        <v>-5764.3199055253717</v>
      </c>
      <c r="AK98" s="286">
        <f t="shared" si="17"/>
        <v>-5700.3199055253717</v>
      </c>
      <c r="AL98" s="286">
        <f t="shared" si="17"/>
        <v>-5636.3199055253717</v>
      </c>
      <c r="AM98" s="286">
        <f t="shared" si="17"/>
        <v>-5572.3199055253717</v>
      </c>
      <c r="AN98" s="286">
        <f t="shared" si="17"/>
        <v>-5508.3199055253717</v>
      </c>
      <c r="AO98" s="286">
        <f t="shared" si="17"/>
        <v>-5444.3199055253717</v>
      </c>
      <c r="AP98" s="286">
        <f t="shared" si="17"/>
        <v>-5380.3199055253717</v>
      </c>
      <c r="AQ98" s="286">
        <f t="shared" si="17"/>
        <v>-5316.3199055253717</v>
      </c>
      <c r="AR98" s="286">
        <f t="shared" si="17"/>
        <v>-5252.3199055253717</v>
      </c>
    </row>
    <row r="99" spans="7:44" hidden="1" outlineLevel="1" x14ac:dyDescent="0.25">
      <c r="G99" s="288">
        <v>0.25</v>
      </c>
      <c r="H99" s="286">
        <f t="shared" si="14"/>
        <v>-5881.8199055253717</v>
      </c>
      <c r="I99" s="286">
        <f t="shared" si="14"/>
        <v>-5787.3199055253717</v>
      </c>
      <c r="J99" s="286">
        <f t="shared" si="14"/>
        <v>-5682.3199055253717</v>
      </c>
      <c r="K99" s="286">
        <f t="shared" si="14"/>
        <v>-5577.3199055253717</v>
      </c>
      <c r="L99" s="286">
        <f t="shared" si="14"/>
        <v>-5472.3199055253717</v>
      </c>
      <c r="M99" s="286">
        <f t="shared" si="14"/>
        <v>-5367.3199055253717</v>
      </c>
      <c r="N99" s="286">
        <f t="shared" si="14"/>
        <v>-5262.3199055253717</v>
      </c>
      <c r="O99" s="286">
        <f t="shared" si="14"/>
        <v>-5157.3199055253717</v>
      </c>
      <c r="P99" s="286">
        <f t="shared" si="14"/>
        <v>-5052.3199055253717</v>
      </c>
      <c r="Q99" s="286">
        <f t="shared" si="14"/>
        <v>-4947.3199055253717</v>
      </c>
      <c r="R99" s="286">
        <f t="shared" si="14"/>
        <v>-4842.3199055253717</v>
      </c>
      <c r="T99" s="288">
        <v>0.25</v>
      </c>
      <c r="U99" s="286">
        <f t="shared" si="15"/>
        <v>-2935.6599527626859</v>
      </c>
      <c r="V99" s="286">
        <f t="shared" si="15"/>
        <v>-2841.1599527626859</v>
      </c>
      <c r="W99" s="286">
        <f t="shared" si="15"/>
        <v>-2736.1599527626859</v>
      </c>
      <c r="X99" s="286">
        <f t="shared" si="15"/>
        <v>-2631.1599527626859</v>
      </c>
      <c r="Y99" s="286">
        <f t="shared" si="15"/>
        <v>-2526.1599527626859</v>
      </c>
      <c r="Z99" s="286">
        <f t="shared" si="15"/>
        <v>-2421.1599527626859</v>
      </c>
      <c r="AA99" s="286">
        <f t="shared" si="15"/>
        <v>-2316.1599527626859</v>
      </c>
      <c r="AB99" s="286">
        <f t="shared" si="15"/>
        <v>-2211.1599527626859</v>
      </c>
      <c r="AC99" s="286">
        <f t="shared" si="15"/>
        <v>-2106.1599527626859</v>
      </c>
      <c r="AD99" s="286">
        <f t="shared" si="15"/>
        <v>-2001.1599527626859</v>
      </c>
      <c r="AE99" s="286">
        <f t="shared" si="15"/>
        <v>-1896.1599527626859</v>
      </c>
      <c r="AG99" s="288">
        <v>0.25</v>
      </c>
      <c r="AH99" s="286">
        <f t="shared" si="17"/>
        <v>-5884.3199055253717</v>
      </c>
      <c r="AI99" s="286">
        <f t="shared" si="17"/>
        <v>-5812.3199055253717</v>
      </c>
      <c r="AJ99" s="286">
        <f t="shared" si="17"/>
        <v>-5732.3199055253717</v>
      </c>
      <c r="AK99" s="286">
        <f t="shared" si="17"/>
        <v>-5652.3199055253717</v>
      </c>
      <c r="AL99" s="286">
        <f t="shared" si="17"/>
        <v>-5572.3199055253717</v>
      </c>
      <c r="AM99" s="286">
        <f t="shared" si="17"/>
        <v>-5492.3199055253717</v>
      </c>
      <c r="AN99" s="286">
        <f t="shared" si="17"/>
        <v>-5412.3199055253717</v>
      </c>
      <c r="AO99" s="286">
        <f t="shared" si="17"/>
        <v>-5332.3199055253717</v>
      </c>
      <c r="AP99" s="286">
        <f t="shared" si="17"/>
        <v>-5252.3199055253717</v>
      </c>
      <c r="AQ99" s="286">
        <f t="shared" si="17"/>
        <v>-5172.3199055253717</v>
      </c>
      <c r="AR99" s="286">
        <f t="shared" si="17"/>
        <v>-5092.3199055253717</v>
      </c>
    </row>
    <row r="100" spans="7:44" hidden="1" outlineLevel="1" x14ac:dyDescent="0.25">
      <c r="G100" s="288">
        <v>0.3</v>
      </c>
      <c r="H100" s="286">
        <f t="shared" si="14"/>
        <v>-5879.7199055253714</v>
      </c>
      <c r="I100" s="286">
        <f t="shared" si="14"/>
        <v>-5766.3199055253717</v>
      </c>
      <c r="J100" s="286">
        <f t="shared" si="14"/>
        <v>-5640.3199055253717</v>
      </c>
      <c r="K100" s="286">
        <f t="shared" si="14"/>
        <v>-5514.3199055253717</v>
      </c>
      <c r="L100" s="286">
        <f t="shared" si="14"/>
        <v>-5388.3199055253717</v>
      </c>
      <c r="M100" s="286">
        <f t="shared" si="14"/>
        <v>-5262.3199055253717</v>
      </c>
      <c r="N100" s="286">
        <f t="shared" si="14"/>
        <v>-5136.3199055253717</v>
      </c>
      <c r="O100" s="286">
        <f t="shared" si="14"/>
        <v>-5010.3199055253717</v>
      </c>
      <c r="P100" s="286">
        <f t="shared" si="14"/>
        <v>-4884.3199055253717</v>
      </c>
      <c r="Q100" s="286">
        <f t="shared" si="14"/>
        <v>-4758.3199055253717</v>
      </c>
      <c r="R100" s="286">
        <f t="shared" si="14"/>
        <v>-4632.3199055253717</v>
      </c>
      <c r="T100" s="288">
        <v>0.3</v>
      </c>
      <c r="U100" s="286">
        <f t="shared" si="15"/>
        <v>-2933.559952762686</v>
      </c>
      <c r="V100" s="286">
        <f t="shared" si="15"/>
        <v>-2820.1599527626859</v>
      </c>
      <c r="W100" s="286">
        <f t="shared" si="15"/>
        <v>-2694.1599527626859</v>
      </c>
      <c r="X100" s="286">
        <f t="shared" si="15"/>
        <v>-2568.1599527626859</v>
      </c>
      <c r="Y100" s="286">
        <f t="shared" si="15"/>
        <v>-2442.1599527626859</v>
      </c>
      <c r="Z100" s="286">
        <f t="shared" si="15"/>
        <v>-2316.1599527626859</v>
      </c>
      <c r="AA100" s="286">
        <f t="shared" si="15"/>
        <v>-2190.1599527626859</v>
      </c>
      <c r="AB100" s="286">
        <f t="shared" si="15"/>
        <v>-2064.1599527626859</v>
      </c>
      <c r="AC100" s="286">
        <f t="shared" si="15"/>
        <v>-1938.1599527626859</v>
      </c>
      <c r="AD100" s="286">
        <f t="shared" si="15"/>
        <v>-1812.1599527626859</v>
      </c>
      <c r="AE100" s="286">
        <f t="shared" si="15"/>
        <v>-1686.1599527626859</v>
      </c>
      <c r="AG100" s="288">
        <v>0.3</v>
      </c>
      <c r="AH100" s="286">
        <f t="shared" si="17"/>
        <v>-5882.7199055253714</v>
      </c>
      <c r="AI100" s="286">
        <f t="shared" si="17"/>
        <v>-5796.3199055253717</v>
      </c>
      <c r="AJ100" s="286">
        <f t="shared" si="17"/>
        <v>-5700.3199055253717</v>
      </c>
      <c r="AK100" s="286">
        <f t="shared" si="17"/>
        <v>-5604.3199055253717</v>
      </c>
      <c r="AL100" s="286">
        <f t="shared" si="17"/>
        <v>-5508.3199055253717</v>
      </c>
      <c r="AM100" s="286">
        <f t="shared" si="17"/>
        <v>-5412.3199055253717</v>
      </c>
      <c r="AN100" s="286">
        <f t="shared" si="17"/>
        <v>-5316.3199055253717</v>
      </c>
      <c r="AO100" s="286">
        <f t="shared" si="17"/>
        <v>-5220.3199055253717</v>
      </c>
      <c r="AP100" s="286">
        <f t="shared" si="17"/>
        <v>-5124.3199055253717</v>
      </c>
      <c r="AQ100" s="286">
        <f t="shared" si="17"/>
        <v>-5028.3199055253717</v>
      </c>
      <c r="AR100" s="286">
        <f t="shared" si="17"/>
        <v>-4932.3199055253717</v>
      </c>
    </row>
    <row r="101" spans="7:44" hidden="1" outlineLevel="1" x14ac:dyDescent="0.25">
      <c r="G101" s="288">
        <v>0.35</v>
      </c>
      <c r="H101" s="286">
        <f t="shared" si="14"/>
        <v>-5877.6199055253719</v>
      </c>
      <c r="I101" s="286">
        <f t="shared" si="14"/>
        <v>-5745.3199055253717</v>
      </c>
      <c r="J101" s="286">
        <f t="shared" si="14"/>
        <v>-5598.3199055253717</v>
      </c>
      <c r="K101" s="286">
        <f t="shared" si="14"/>
        <v>-5451.3199055253717</v>
      </c>
      <c r="L101" s="286">
        <f t="shared" si="14"/>
        <v>-5304.3199055253717</v>
      </c>
      <c r="M101" s="286">
        <f t="shared" si="14"/>
        <v>-5157.3199055253717</v>
      </c>
      <c r="N101" s="286">
        <f t="shared" si="14"/>
        <v>-5010.3199055253717</v>
      </c>
      <c r="O101" s="286">
        <f t="shared" si="14"/>
        <v>-4863.3199055253717</v>
      </c>
      <c r="P101" s="286">
        <f t="shared" si="14"/>
        <v>-4716.3199055253717</v>
      </c>
      <c r="Q101" s="286">
        <f t="shared" si="14"/>
        <v>-4569.3199055253717</v>
      </c>
      <c r="R101" s="286">
        <f t="shared" si="14"/>
        <v>-4422.3199055253717</v>
      </c>
      <c r="T101" s="288">
        <v>0.35</v>
      </c>
      <c r="U101" s="286">
        <f t="shared" si="15"/>
        <v>-2931.459952762686</v>
      </c>
      <c r="V101" s="286">
        <f t="shared" si="15"/>
        <v>-2799.1599527626859</v>
      </c>
      <c r="W101" s="286">
        <f t="shared" si="15"/>
        <v>-2652.1599527626859</v>
      </c>
      <c r="X101" s="286">
        <f t="shared" si="15"/>
        <v>-2505.1599527626859</v>
      </c>
      <c r="Y101" s="286">
        <f t="shared" si="15"/>
        <v>-2358.1599527626859</v>
      </c>
      <c r="Z101" s="286">
        <f t="shared" si="15"/>
        <v>-2211.1599527626859</v>
      </c>
      <c r="AA101" s="286">
        <f t="shared" si="15"/>
        <v>-2064.1599527626859</v>
      </c>
      <c r="AB101" s="286">
        <f t="shared" si="15"/>
        <v>-1917.1599527626861</v>
      </c>
      <c r="AC101" s="286">
        <f t="shared" si="15"/>
        <v>-1770.1599527626861</v>
      </c>
      <c r="AD101" s="286">
        <f t="shared" si="15"/>
        <v>-1623.1599527626859</v>
      </c>
      <c r="AE101" s="286">
        <f t="shared" si="15"/>
        <v>-1476.1599527626859</v>
      </c>
      <c r="AG101" s="288">
        <v>0.35</v>
      </c>
      <c r="AH101" s="286">
        <f t="shared" si="17"/>
        <v>-5881.1199055253719</v>
      </c>
      <c r="AI101" s="286">
        <f t="shared" si="17"/>
        <v>-5780.3199055253717</v>
      </c>
      <c r="AJ101" s="286">
        <f t="shared" si="17"/>
        <v>-5668.3199055253717</v>
      </c>
      <c r="AK101" s="286">
        <f t="shared" si="17"/>
        <v>-5556.3199055253717</v>
      </c>
      <c r="AL101" s="286">
        <f t="shared" si="17"/>
        <v>-5444.3199055253717</v>
      </c>
      <c r="AM101" s="286">
        <f t="shared" si="17"/>
        <v>-5332.3199055253717</v>
      </c>
      <c r="AN101" s="286">
        <f t="shared" si="17"/>
        <v>-5220.3199055253717</v>
      </c>
      <c r="AO101" s="286">
        <f t="shared" si="17"/>
        <v>-5108.3199055253717</v>
      </c>
      <c r="AP101" s="286">
        <f t="shared" si="17"/>
        <v>-4996.3199055253717</v>
      </c>
      <c r="AQ101" s="286">
        <f t="shared" si="17"/>
        <v>-4884.3199055253717</v>
      </c>
      <c r="AR101" s="286">
        <f t="shared" si="17"/>
        <v>-4772.3199055253717</v>
      </c>
    </row>
    <row r="102" spans="7:44" hidden="1" outlineLevel="1" x14ac:dyDescent="0.25">
      <c r="G102" s="288">
        <v>0.4</v>
      </c>
      <c r="H102" s="286">
        <f t="shared" si="14"/>
        <v>-5875.5199055253715</v>
      </c>
      <c r="I102" s="286">
        <f t="shared" si="14"/>
        <v>-5724.3199055253717</v>
      </c>
      <c r="J102" s="286">
        <f t="shared" si="14"/>
        <v>-5556.3199055253717</v>
      </c>
      <c r="K102" s="286">
        <f t="shared" si="14"/>
        <v>-5388.3199055253717</v>
      </c>
      <c r="L102" s="286">
        <f t="shared" si="14"/>
        <v>-5220.3199055253717</v>
      </c>
      <c r="M102" s="286">
        <f t="shared" si="14"/>
        <v>-5052.3199055253717</v>
      </c>
      <c r="N102" s="286">
        <f t="shared" si="14"/>
        <v>-4884.3199055253717</v>
      </c>
      <c r="O102" s="286">
        <f t="shared" si="14"/>
        <v>-4716.3199055253717</v>
      </c>
      <c r="P102" s="286">
        <f t="shared" si="14"/>
        <v>-4548.3199055253717</v>
      </c>
      <c r="Q102" s="286">
        <f t="shared" si="14"/>
        <v>-4380.3199055253717</v>
      </c>
      <c r="R102" s="286">
        <f t="shared" si="14"/>
        <v>-4212.3199055253717</v>
      </c>
      <c r="T102" s="288">
        <v>0.4</v>
      </c>
      <c r="U102" s="286">
        <f t="shared" si="15"/>
        <v>-2929.3599527626857</v>
      </c>
      <c r="V102" s="286">
        <f t="shared" si="15"/>
        <v>-2778.1599527626859</v>
      </c>
      <c r="W102" s="286">
        <f t="shared" si="15"/>
        <v>-2610.1599527626859</v>
      </c>
      <c r="X102" s="286">
        <f t="shared" si="15"/>
        <v>-2442.1599527626859</v>
      </c>
      <c r="Y102" s="286">
        <f t="shared" si="15"/>
        <v>-2274.1599527626859</v>
      </c>
      <c r="Z102" s="286">
        <f t="shared" si="15"/>
        <v>-2106.1599527626859</v>
      </c>
      <c r="AA102" s="286">
        <f t="shared" si="15"/>
        <v>-1938.1599527626859</v>
      </c>
      <c r="AB102" s="286">
        <f t="shared" si="15"/>
        <v>-1770.1599527626861</v>
      </c>
      <c r="AC102" s="286">
        <f t="shared" si="15"/>
        <v>-1602.1599527626856</v>
      </c>
      <c r="AD102" s="286">
        <f t="shared" si="15"/>
        <v>-1434.1599527626856</v>
      </c>
      <c r="AE102" s="286">
        <f t="shared" si="15"/>
        <v>-1266.1599527626859</v>
      </c>
      <c r="AG102" s="288">
        <v>0.4</v>
      </c>
      <c r="AH102" s="286">
        <f t="shared" si="17"/>
        <v>-5879.5199055253715</v>
      </c>
      <c r="AI102" s="286">
        <f t="shared" si="17"/>
        <v>-5764.3199055253717</v>
      </c>
      <c r="AJ102" s="286">
        <f t="shared" si="17"/>
        <v>-5636.3199055253717</v>
      </c>
      <c r="AK102" s="286">
        <f t="shared" si="17"/>
        <v>-5508.3199055253717</v>
      </c>
      <c r="AL102" s="286">
        <f t="shared" si="17"/>
        <v>-5380.3199055253717</v>
      </c>
      <c r="AM102" s="286">
        <f t="shared" si="17"/>
        <v>-5252.3199055253717</v>
      </c>
      <c r="AN102" s="286">
        <f t="shared" si="17"/>
        <v>-5124.3199055253717</v>
      </c>
      <c r="AO102" s="286">
        <f t="shared" si="17"/>
        <v>-4996.3199055253717</v>
      </c>
      <c r="AP102" s="286">
        <f t="shared" si="17"/>
        <v>-4868.3199055253717</v>
      </c>
      <c r="AQ102" s="286">
        <f t="shared" si="17"/>
        <v>-4740.3199055253717</v>
      </c>
      <c r="AR102" s="286">
        <f t="shared" si="17"/>
        <v>-4612.3199055253717</v>
      </c>
    </row>
    <row r="103" spans="7:44" hidden="1" outlineLevel="1" x14ac:dyDescent="0.25">
      <c r="G103" s="288">
        <v>0.45</v>
      </c>
      <c r="H103" s="286">
        <f t="shared" si="14"/>
        <v>-5873.4199055253721</v>
      </c>
      <c r="I103" s="286">
        <f t="shared" si="14"/>
        <v>-5703.3199055253717</v>
      </c>
      <c r="J103" s="286">
        <f t="shared" si="14"/>
        <v>-5514.3199055253717</v>
      </c>
      <c r="K103" s="286">
        <f t="shared" si="14"/>
        <v>-5325.3199055253717</v>
      </c>
      <c r="L103" s="286">
        <f t="shared" si="14"/>
        <v>-5136.3199055253717</v>
      </c>
      <c r="M103" s="286">
        <f t="shared" si="14"/>
        <v>-4947.3199055253717</v>
      </c>
      <c r="N103" s="286">
        <f t="shared" si="14"/>
        <v>-4758.3199055253717</v>
      </c>
      <c r="O103" s="286">
        <f t="shared" si="14"/>
        <v>-4569.3199055253717</v>
      </c>
      <c r="P103" s="286">
        <f t="shared" si="14"/>
        <v>-4380.3199055253717</v>
      </c>
      <c r="Q103" s="286">
        <f t="shared" si="14"/>
        <v>-4191.3199055253717</v>
      </c>
      <c r="R103" s="286">
        <f t="shared" si="14"/>
        <v>-4002.3199055253717</v>
      </c>
      <c r="T103" s="288">
        <v>0.45</v>
      </c>
      <c r="U103" s="286">
        <f t="shared" si="15"/>
        <v>-2927.2599527626858</v>
      </c>
      <c r="V103" s="286">
        <f t="shared" si="15"/>
        <v>-2757.1599527626859</v>
      </c>
      <c r="W103" s="286">
        <f t="shared" si="15"/>
        <v>-2568.1599527626859</v>
      </c>
      <c r="X103" s="286">
        <f t="shared" si="15"/>
        <v>-2379.1599527626859</v>
      </c>
      <c r="Y103" s="286">
        <f t="shared" si="15"/>
        <v>-2190.1599527626859</v>
      </c>
      <c r="Z103" s="286">
        <f t="shared" si="15"/>
        <v>-2001.1599527626859</v>
      </c>
      <c r="AA103" s="286">
        <f t="shared" si="15"/>
        <v>-1812.1599527626859</v>
      </c>
      <c r="AB103" s="286">
        <f t="shared" si="15"/>
        <v>-1623.1599527626859</v>
      </c>
      <c r="AC103" s="286">
        <f t="shared" si="15"/>
        <v>-1434.1599527626856</v>
      </c>
      <c r="AD103" s="286">
        <f t="shared" si="15"/>
        <v>-1245.1599527626859</v>
      </c>
      <c r="AE103" s="286">
        <f t="shared" si="15"/>
        <v>-1056.1599527626859</v>
      </c>
      <c r="AG103" s="288">
        <v>0.45</v>
      </c>
      <c r="AH103" s="286">
        <f t="shared" si="17"/>
        <v>-5877.9199055253721</v>
      </c>
      <c r="AI103" s="286">
        <f t="shared" si="17"/>
        <v>-5748.3199055253717</v>
      </c>
      <c r="AJ103" s="286">
        <f t="shared" si="17"/>
        <v>-5604.3199055253717</v>
      </c>
      <c r="AK103" s="286">
        <f t="shared" si="17"/>
        <v>-5460.3199055253717</v>
      </c>
      <c r="AL103" s="286">
        <f t="shared" si="17"/>
        <v>-5316.3199055253717</v>
      </c>
      <c r="AM103" s="286">
        <f t="shared" si="17"/>
        <v>-5172.3199055253717</v>
      </c>
      <c r="AN103" s="286">
        <f t="shared" si="17"/>
        <v>-5028.3199055253717</v>
      </c>
      <c r="AO103" s="286">
        <f t="shared" si="17"/>
        <v>-4884.3199055253717</v>
      </c>
      <c r="AP103" s="286">
        <f t="shared" si="17"/>
        <v>-4740.3199055253717</v>
      </c>
      <c r="AQ103" s="286">
        <f t="shared" si="17"/>
        <v>-4596.3199055253717</v>
      </c>
      <c r="AR103" s="286">
        <f t="shared" si="17"/>
        <v>-4452.3199055253717</v>
      </c>
    </row>
    <row r="104" spans="7:44" collapsed="1" x14ac:dyDescent="0.25">
      <c r="G104" s="288">
        <v>0.5</v>
      </c>
      <c r="H104" s="286">
        <f t="shared" ref="H104:R114" si="18">(((H$92*$G104)*($C$21+$C$23))-($C$27-($C$27*$C$31)))</f>
        <v>-5871.3199055253717</v>
      </c>
      <c r="I104" s="286">
        <f t="shared" si="18"/>
        <v>-5682.3199055253717</v>
      </c>
      <c r="J104" s="286">
        <f t="shared" si="18"/>
        <v>-5472.3199055253717</v>
      </c>
      <c r="K104" s="286">
        <f t="shared" si="18"/>
        <v>-5262.3199055253717</v>
      </c>
      <c r="L104" s="286">
        <f t="shared" si="18"/>
        <v>-5052.3199055253717</v>
      </c>
      <c r="M104" s="286">
        <f t="shared" si="18"/>
        <v>-4842.3199055253717</v>
      </c>
      <c r="N104" s="286">
        <f t="shared" si="18"/>
        <v>-4632.3199055253717</v>
      </c>
      <c r="O104" s="286">
        <f t="shared" si="18"/>
        <v>-4422.3199055253717</v>
      </c>
      <c r="P104" s="286">
        <f t="shared" si="18"/>
        <v>-4212.3199055253717</v>
      </c>
      <c r="Q104" s="286">
        <f t="shared" si="18"/>
        <v>-4002.3199055253717</v>
      </c>
      <c r="R104" s="286">
        <f t="shared" si="18"/>
        <v>-3792.3199055253717</v>
      </c>
      <c r="T104" s="288">
        <v>0.5</v>
      </c>
      <c r="U104" s="286">
        <f t="shared" ref="U104:AE114" si="19">(((U$92*$T104)*($C$21+$C$23))-($C$27-($C$27*$C$32)))</f>
        <v>-2925.1599527626859</v>
      </c>
      <c r="V104" s="286">
        <f t="shared" si="19"/>
        <v>-2736.1599527626859</v>
      </c>
      <c r="W104" s="286">
        <f t="shared" si="19"/>
        <v>-2526.1599527626859</v>
      </c>
      <c r="X104" s="286">
        <f t="shared" si="19"/>
        <v>-2316.1599527626859</v>
      </c>
      <c r="Y104" s="286">
        <f t="shared" si="19"/>
        <v>-2106.1599527626859</v>
      </c>
      <c r="Z104" s="286">
        <f t="shared" si="19"/>
        <v>-1896.1599527626859</v>
      </c>
      <c r="AA104" s="286">
        <f t="shared" si="19"/>
        <v>-1686.1599527626859</v>
      </c>
      <c r="AB104" s="286">
        <f t="shared" si="19"/>
        <v>-1476.1599527626859</v>
      </c>
      <c r="AC104" s="286">
        <f t="shared" si="19"/>
        <v>-1266.1599527626859</v>
      </c>
      <c r="AD104" s="286">
        <f t="shared" si="19"/>
        <v>-1056.1599527626859</v>
      </c>
      <c r="AE104" s="286">
        <f t="shared" si="19"/>
        <v>-846.15995276268586</v>
      </c>
      <c r="AG104" s="288">
        <v>0.5</v>
      </c>
      <c r="AH104" s="286">
        <f t="shared" si="17"/>
        <v>-5876.3199055253717</v>
      </c>
      <c r="AI104" s="286">
        <f t="shared" si="17"/>
        <v>-5732.3199055253717</v>
      </c>
      <c r="AJ104" s="286">
        <f t="shared" si="17"/>
        <v>-5572.3199055253717</v>
      </c>
      <c r="AK104" s="286">
        <f t="shared" si="17"/>
        <v>-5412.3199055253717</v>
      </c>
      <c r="AL104" s="286">
        <f t="shared" si="17"/>
        <v>-5252.3199055253717</v>
      </c>
      <c r="AM104" s="286">
        <f t="shared" si="17"/>
        <v>-5092.3199055253717</v>
      </c>
      <c r="AN104" s="286">
        <f t="shared" si="17"/>
        <v>-4932.3199055253717</v>
      </c>
      <c r="AO104" s="286">
        <f t="shared" si="17"/>
        <v>-4772.3199055253717</v>
      </c>
      <c r="AP104" s="286">
        <f t="shared" si="17"/>
        <v>-4612.3199055253717</v>
      </c>
      <c r="AQ104" s="286">
        <f t="shared" si="17"/>
        <v>-4452.3199055253717</v>
      </c>
      <c r="AR104" s="286">
        <f t="shared" si="17"/>
        <v>-4292.3199055253717</v>
      </c>
    </row>
    <row r="105" spans="7:44" x14ac:dyDescent="0.25">
      <c r="G105" s="288">
        <v>0.55000000000000004</v>
      </c>
      <c r="H105" s="286">
        <f t="shared" si="18"/>
        <v>-5869.2199055253714</v>
      </c>
      <c r="I105" s="286">
        <f t="shared" si="18"/>
        <v>-5661.3199055253717</v>
      </c>
      <c r="J105" s="286">
        <f t="shared" si="18"/>
        <v>-5430.3199055253717</v>
      </c>
      <c r="K105" s="286">
        <f t="shared" si="18"/>
        <v>-5199.3199055253717</v>
      </c>
      <c r="L105" s="286">
        <f t="shared" si="18"/>
        <v>-4968.3199055253717</v>
      </c>
      <c r="M105" s="286">
        <f t="shared" si="18"/>
        <v>-4737.3199055253717</v>
      </c>
      <c r="N105" s="286">
        <f t="shared" si="18"/>
        <v>-4506.3199055253717</v>
      </c>
      <c r="O105" s="286">
        <f t="shared" si="18"/>
        <v>-4275.3199055253717</v>
      </c>
      <c r="P105" s="286">
        <f t="shared" si="18"/>
        <v>-4044.3199055253717</v>
      </c>
      <c r="Q105" s="286">
        <f t="shared" si="18"/>
        <v>-3813.3199055253717</v>
      </c>
      <c r="R105" s="286">
        <f t="shared" si="18"/>
        <v>-3582.3199055253717</v>
      </c>
      <c r="T105" s="288">
        <v>0.55000000000000004</v>
      </c>
      <c r="U105" s="286">
        <f t="shared" si="19"/>
        <v>-2923.059952762686</v>
      </c>
      <c r="V105" s="286">
        <f t="shared" si="19"/>
        <v>-2715.1599527626859</v>
      </c>
      <c r="W105" s="286">
        <f t="shared" si="19"/>
        <v>-2484.1599527626859</v>
      </c>
      <c r="X105" s="286">
        <f t="shared" si="19"/>
        <v>-2253.1599527626859</v>
      </c>
      <c r="Y105" s="286">
        <f t="shared" si="19"/>
        <v>-2022.1599527626859</v>
      </c>
      <c r="Z105" s="286">
        <f t="shared" si="19"/>
        <v>-1791.1599527626859</v>
      </c>
      <c r="AA105" s="286">
        <f t="shared" si="19"/>
        <v>-1560.1599527626859</v>
      </c>
      <c r="AB105" s="286">
        <f t="shared" si="19"/>
        <v>-1329.1599527626859</v>
      </c>
      <c r="AC105" s="286">
        <f t="shared" si="19"/>
        <v>-1098.1599527626856</v>
      </c>
      <c r="AD105" s="286">
        <f t="shared" si="19"/>
        <v>-867.15995276268586</v>
      </c>
      <c r="AE105" s="286">
        <f t="shared" si="19"/>
        <v>-636.15995276268586</v>
      </c>
      <c r="AG105" s="288">
        <v>0.55000000000000004</v>
      </c>
      <c r="AH105" s="286">
        <f t="shared" si="17"/>
        <v>-5874.7199055253714</v>
      </c>
      <c r="AI105" s="286">
        <f t="shared" si="17"/>
        <v>-5716.3199055253717</v>
      </c>
      <c r="AJ105" s="286">
        <f t="shared" si="17"/>
        <v>-5540.3199055253717</v>
      </c>
      <c r="AK105" s="286">
        <f t="shared" si="17"/>
        <v>-5364.3199055253717</v>
      </c>
      <c r="AL105" s="286">
        <f t="shared" si="17"/>
        <v>-5188.3199055253717</v>
      </c>
      <c r="AM105" s="286">
        <f t="shared" si="17"/>
        <v>-5012.3199055253717</v>
      </c>
      <c r="AN105" s="286">
        <f t="shared" si="17"/>
        <v>-4836.3199055253717</v>
      </c>
      <c r="AO105" s="286">
        <f t="shared" si="17"/>
        <v>-4660.3199055253717</v>
      </c>
      <c r="AP105" s="286">
        <f t="shared" si="17"/>
        <v>-4484.3199055253717</v>
      </c>
      <c r="AQ105" s="286">
        <f t="shared" si="17"/>
        <v>-4308.3199055253717</v>
      </c>
      <c r="AR105" s="286">
        <f t="shared" si="17"/>
        <v>-4132.3199055253717</v>
      </c>
    </row>
    <row r="106" spans="7:44" x14ac:dyDescent="0.25">
      <c r="G106" s="288">
        <v>0.6</v>
      </c>
      <c r="H106" s="286">
        <f t="shared" si="18"/>
        <v>-5867.1199055253719</v>
      </c>
      <c r="I106" s="286">
        <f t="shared" si="18"/>
        <v>-5640.3199055253717</v>
      </c>
      <c r="J106" s="286">
        <f t="shared" si="18"/>
        <v>-5388.3199055253717</v>
      </c>
      <c r="K106" s="286">
        <f t="shared" si="18"/>
        <v>-5136.3199055253717</v>
      </c>
      <c r="L106" s="286">
        <f t="shared" si="18"/>
        <v>-4884.3199055253717</v>
      </c>
      <c r="M106" s="286">
        <f t="shared" si="18"/>
        <v>-4632.3199055253717</v>
      </c>
      <c r="N106" s="286">
        <f t="shared" si="18"/>
        <v>-4380.3199055253717</v>
      </c>
      <c r="O106" s="286">
        <f t="shared" si="18"/>
        <v>-4128.3199055253717</v>
      </c>
      <c r="P106" s="286">
        <f t="shared" si="18"/>
        <v>-3876.3199055253717</v>
      </c>
      <c r="Q106" s="286">
        <f t="shared" si="18"/>
        <v>-3624.3199055253717</v>
      </c>
      <c r="R106" s="286">
        <f t="shared" si="18"/>
        <v>-3372.3199055253717</v>
      </c>
      <c r="T106" s="288">
        <v>0.6</v>
      </c>
      <c r="U106" s="286">
        <f t="shared" si="19"/>
        <v>-2920.959952762686</v>
      </c>
      <c r="V106" s="286">
        <f t="shared" si="19"/>
        <v>-2694.1599527626859</v>
      </c>
      <c r="W106" s="286">
        <f t="shared" si="19"/>
        <v>-2442.1599527626859</v>
      </c>
      <c r="X106" s="286">
        <f t="shared" si="19"/>
        <v>-2190.1599527626859</v>
      </c>
      <c r="Y106" s="286">
        <f t="shared" si="19"/>
        <v>-1938.1599527626859</v>
      </c>
      <c r="Z106" s="286">
        <f t="shared" si="19"/>
        <v>-1686.1599527626859</v>
      </c>
      <c r="AA106" s="286">
        <f t="shared" si="19"/>
        <v>-1434.1599527626859</v>
      </c>
      <c r="AB106" s="286">
        <f t="shared" si="19"/>
        <v>-1182.1599527626859</v>
      </c>
      <c r="AC106" s="286">
        <f t="shared" si="19"/>
        <v>-930.15995276268586</v>
      </c>
      <c r="AD106" s="286">
        <f t="shared" si="19"/>
        <v>-678.15995276268586</v>
      </c>
      <c r="AE106" s="286">
        <f t="shared" si="19"/>
        <v>-426.15995276268586</v>
      </c>
      <c r="AG106" s="288">
        <v>0.6</v>
      </c>
      <c r="AH106" s="286">
        <f t="shared" si="17"/>
        <v>-5873.1199055253719</v>
      </c>
      <c r="AI106" s="286">
        <f t="shared" si="17"/>
        <v>-5700.3199055253717</v>
      </c>
      <c r="AJ106" s="286">
        <f t="shared" si="17"/>
        <v>-5508.3199055253717</v>
      </c>
      <c r="AK106" s="286">
        <f t="shared" si="17"/>
        <v>-5316.3199055253717</v>
      </c>
      <c r="AL106" s="286">
        <f t="shared" si="17"/>
        <v>-5124.3199055253717</v>
      </c>
      <c r="AM106" s="286">
        <f t="shared" si="17"/>
        <v>-4932.3199055253717</v>
      </c>
      <c r="AN106" s="286">
        <f t="shared" si="17"/>
        <v>-4740.3199055253717</v>
      </c>
      <c r="AO106" s="286">
        <f t="shared" si="17"/>
        <v>-4548.3199055253717</v>
      </c>
      <c r="AP106" s="286">
        <f t="shared" si="17"/>
        <v>-4356.3199055253717</v>
      </c>
      <c r="AQ106" s="286">
        <f t="shared" si="17"/>
        <v>-4164.3199055253717</v>
      </c>
      <c r="AR106" s="286">
        <f t="shared" si="17"/>
        <v>-3972.3199055253717</v>
      </c>
    </row>
    <row r="107" spans="7:44" x14ac:dyDescent="0.25">
      <c r="G107" s="288">
        <v>0.65</v>
      </c>
      <c r="H107" s="286">
        <f t="shared" si="18"/>
        <v>-5865.0199055253715</v>
      </c>
      <c r="I107" s="286">
        <f t="shared" si="18"/>
        <v>-5619.3199055253717</v>
      </c>
      <c r="J107" s="286">
        <f t="shared" si="18"/>
        <v>-5346.3199055253717</v>
      </c>
      <c r="K107" s="286">
        <f t="shared" si="18"/>
        <v>-5073.3199055253717</v>
      </c>
      <c r="L107" s="286">
        <f t="shared" si="18"/>
        <v>-4800.3199055253717</v>
      </c>
      <c r="M107" s="286">
        <f t="shared" si="18"/>
        <v>-4527.3199055253717</v>
      </c>
      <c r="N107" s="286">
        <f t="shared" si="18"/>
        <v>-4254.3199055253717</v>
      </c>
      <c r="O107" s="286">
        <f t="shared" si="18"/>
        <v>-3981.3199055253717</v>
      </c>
      <c r="P107" s="286">
        <f t="shared" si="18"/>
        <v>-3708.3199055253717</v>
      </c>
      <c r="Q107" s="286">
        <f t="shared" si="18"/>
        <v>-3435.3199055253713</v>
      </c>
      <c r="R107" s="286">
        <f t="shared" si="18"/>
        <v>-3162.3199055253717</v>
      </c>
      <c r="T107" s="288">
        <v>0.65</v>
      </c>
      <c r="U107" s="286">
        <f t="shared" si="19"/>
        <v>-2918.8599527626857</v>
      </c>
      <c r="V107" s="286">
        <f t="shared" si="19"/>
        <v>-2673.1599527626859</v>
      </c>
      <c r="W107" s="286">
        <f t="shared" si="19"/>
        <v>-2400.1599527626859</v>
      </c>
      <c r="X107" s="286">
        <f t="shared" si="19"/>
        <v>-2127.1599527626859</v>
      </c>
      <c r="Y107" s="286">
        <f t="shared" si="19"/>
        <v>-1854.1599527626859</v>
      </c>
      <c r="Z107" s="286">
        <f t="shared" si="19"/>
        <v>-1581.1599527626859</v>
      </c>
      <c r="AA107" s="286">
        <f t="shared" si="19"/>
        <v>-1308.1599527626859</v>
      </c>
      <c r="AB107" s="286">
        <f t="shared" si="19"/>
        <v>-1035.1599527626861</v>
      </c>
      <c r="AC107" s="286">
        <f t="shared" si="19"/>
        <v>-762.15995276268586</v>
      </c>
      <c r="AD107" s="286">
        <f t="shared" si="19"/>
        <v>-489.15995276268541</v>
      </c>
      <c r="AE107" s="286">
        <f t="shared" si="19"/>
        <v>-216.15995276268586</v>
      </c>
      <c r="AG107" s="288">
        <v>0.65</v>
      </c>
      <c r="AH107" s="286">
        <f t="shared" si="17"/>
        <v>-5871.5199055253715</v>
      </c>
      <c r="AI107" s="286">
        <f t="shared" si="17"/>
        <v>-5684.3199055253717</v>
      </c>
      <c r="AJ107" s="286">
        <f t="shared" si="17"/>
        <v>-5476.3199055253717</v>
      </c>
      <c r="AK107" s="286">
        <f t="shared" si="17"/>
        <v>-5268.3199055253717</v>
      </c>
      <c r="AL107" s="286">
        <f t="shared" si="17"/>
        <v>-5060.3199055253717</v>
      </c>
      <c r="AM107" s="286">
        <f t="shared" si="17"/>
        <v>-4852.3199055253717</v>
      </c>
      <c r="AN107" s="286">
        <f t="shared" si="17"/>
        <v>-4644.3199055253717</v>
      </c>
      <c r="AO107" s="286">
        <f t="shared" si="17"/>
        <v>-4436.3199055253717</v>
      </c>
      <c r="AP107" s="286">
        <f t="shared" si="17"/>
        <v>-4228.3199055253717</v>
      </c>
      <c r="AQ107" s="286">
        <f t="shared" si="17"/>
        <v>-4020.3199055253717</v>
      </c>
      <c r="AR107" s="286">
        <f t="shared" si="17"/>
        <v>-3812.3199055253717</v>
      </c>
    </row>
    <row r="108" spans="7:44" x14ac:dyDescent="0.25">
      <c r="G108" s="288">
        <v>0.7</v>
      </c>
      <c r="H108" s="286">
        <f t="shared" si="18"/>
        <v>-5862.9199055253721</v>
      </c>
      <c r="I108" s="286">
        <f t="shared" si="18"/>
        <v>-5598.3199055253717</v>
      </c>
      <c r="J108" s="286">
        <f t="shared" si="18"/>
        <v>-5304.3199055253717</v>
      </c>
      <c r="K108" s="286">
        <f t="shared" si="18"/>
        <v>-5010.3199055253717</v>
      </c>
      <c r="L108" s="286">
        <f t="shared" si="18"/>
        <v>-4716.3199055253717</v>
      </c>
      <c r="M108" s="286">
        <f t="shared" si="18"/>
        <v>-4422.3199055253717</v>
      </c>
      <c r="N108" s="286">
        <f t="shared" si="18"/>
        <v>-4128.3199055253717</v>
      </c>
      <c r="O108" s="286">
        <f t="shared" si="18"/>
        <v>-3834.3199055253722</v>
      </c>
      <c r="P108" s="286">
        <f t="shared" si="18"/>
        <v>-3540.3199055253722</v>
      </c>
      <c r="Q108" s="286">
        <f t="shared" si="18"/>
        <v>-3246.3199055253717</v>
      </c>
      <c r="R108" s="286">
        <f t="shared" si="18"/>
        <v>-2952.3199055253717</v>
      </c>
      <c r="T108" s="288">
        <v>0.7</v>
      </c>
      <c r="U108" s="286">
        <f t="shared" si="19"/>
        <v>-2916.7599527626858</v>
      </c>
      <c r="V108" s="286">
        <f t="shared" si="19"/>
        <v>-2652.1599527626859</v>
      </c>
      <c r="W108" s="286">
        <f t="shared" si="19"/>
        <v>-2358.1599527626859</v>
      </c>
      <c r="X108" s="286">
        <f t="shared" si="19"/>
        <v>-2064.1599527626859</v>
      </c>
      <c r="Y108" s="286">
        <f t="shared" si="19"/>
        <v>-1770.1599527626861</v>
      </c>
      <c r="Z108" s="286">
        <f t="shared" si="19"/>
        <v>-1476.1599527626859</v>
      </c>
      <c r="AA108" s="286">
        <f t="shared" si="19"/>
        <v>-1182.1599527626859</v>
      </c>
      <c r="AB108" s="286">
        <f t="shared" si="19"/>
        <v>-888.15995276268632</v>
      </c>
      <c r="AC108" s="286">
        <f t="shared" si="19"/>
        <v>-594.15995276268632</v>
      </c>
      <c r="AD108" s="286">
        <f t="shared" si="19"/>
        <v>-300.15995276268586</v>
      </c>
      <c r="AE108" s="286">
        <f t="shared" si="19"/>
        <v>-6.1599527626858617</v>
      </c>
      <c r="AG108" s="288">
        <v>0.7</v>
      </c>
      <c r="AH108" s="286">
        <f t="shared" si="17"/>
        <v>-5869.9199055253721</v>
      </c>
      <c r="AI108" s="286">
        <f t="shared" si="17"/>
        <v>-5668.3199055253717</v>
      </c>
      <c r="AJ108" s="286">
        <f t="shared" si="17"/>
        <v>-5444.3199055253717</v>
      </c>
      <c r="AK108" s="286">
        <f t="shared" si="17"/>
        <v>-5220.3199055253717</v>
      </c>
      <c r="AL108" s="286">
        <f t="shared" si="17"/>
        <v>-4996.3199055253717</v>
      </c>
      <c r="AM108" s="286">
        <f t="shared" si="17"/>
        <v>-4772.3199055253717</v>
      </c>
      <c r="AN108" s="286">
        <f t="shared" si="17"/>
        <v>-4548.3199055253717</v>
      </c>
      <c r="AO108" s="286">
        <f t="shared" si="17"/>
        <v>-4324.3199055253717</v>
      </c>
      <c r="AP108" s="286">
        <f t="shared" si="17"/>
        <v>-4100.3199055253717</v>
      </c>
      <c r="AQ108" s="286">
        <f t="shared" si="17"/>
        <v>-3876.3199055253717</v>
      </c>
      <c r="AR108" s="286">
        <f t="shared" si="17"/>
        <v>-3652.3199055253717</v>
      </c>
    </row>
    <row r="109" spans="7:44" x14ac:dyDescent="0.25">
      <c r="G109" s="288">
        <v>0.75</v>
      </c>
      <c r="H109" s="286">
        <f t="shared" si="18"/>
        <v>-5860.8199055253717</v>
      </c>
      <c r="I109" s="286">
        <f t="shared" si="18"/>
        <v>-5577.3199055253717</v>
      </c>
      <c r="J109" s="286">
        <f t="shared" si="18"/>
        <v>-5262.3199055253717</v>
      </c>
      <c r="K109" s="286">
        <f t="shared" si="18"/>
        <v>-4947.3199055253717</v>
      </c>
      <c r="L109" s="286">
        <f t="shared" si="18"/>
        <v>-4632.3199055253717</v>
      </c>
      <c r="M109" s="286">
        <f t="shared" si="18"/>
        <v>-4317.3199055253717</v>
      </c>
      <c r="N109" s="286">
        <f t="shared" si="18"/>
        <v>-4002.3199055253717</v>
      </c>
      <c r="O109" s="286">
        <f t="shared" si="18"/>
        <v>-3687.3199055253722</v>
      </c>
      <c r="P109" s="286">
        <f t="shared" si="18"/>
        <v>-3372.3199055253713</v>
      </c>
      <c r="Q109" s="286">
        <f t="shared" si="18"/>
        <v>-3057.3199055253717</v>
      </c>
      <c r="R109" s="286">
        <f t="shared" si="18"/>
        <v>-2742.3199055253717</v>
      </c>
      <c r="T109" s="288">
        <v>0.75</v>
      </c>
      <c r="U109" s="286">
        <f t="shared" si="19"/>
        <v>-2914.6599527626859</v>
      </c>
      <c r="V109" s="286">
        <f t="shared" si="19"/>
        <v>-2631.1599527626859</v>
      </c>
      <c r="W109" s="286">
        <f t="shared" si="19"/>
        <v>-2316.1599527626859</v>
      </c>
      <c r="X109" s="286">
        <f t="shared" si="19"/>
        <v>-2001.1599527626859</v>
      </c>
      <c r="Y109" s="286">
        <f t="shared" si="19"/>
        <v>-1686.1599527626856</v>
      </c>
      <c r="Z109" s="286">
        <f t="shared" si="19"/>
        <v>-1371.1599527626859</v>
      </c>
      <c r="AA109" s="286">
        <f t="shared" si="19"/>
        <v>-1056.1599527626861</v>
      </c>
      <c r="AB109" s="286">
        <f t="shared" si="19"/>
        <v>-741.15995276268632</v>
      </c>
      <c r="AC109" s="286">
        <f t="shared" si="19"/>
        <v>-426.15995276268541</v>
      </c>
      <c r="AD109" s="286">
        <f t="shared" si="19"/>
        <v>-111.15995276268586</v>
      </c>
      <c r="AE109" s="286">
        <f t="shared" si="19"/>
        <v>203.84004723731414</v>
      </c>
      <c r="AG109" s="288">
        <v>0.75</v>
      </c>
      <c r="AH109" s="286">
        <f t="shared" si="17"/>
        <v>-5868.3199055253717</v>
      </c>
      <c r="AI109" s="286">
        <f t="shared" si="17"/>
        <v>-5652.3199055253717</v>
      </c>
      <c r="AJ109" s="286">
        <f t="shared" si="17"/>
        <v>-5412.3199055253717</v>
      </c>
      <c r="AK109" s="286">
        <f t="shared" si="17"/>
        <v>-5172.3199055253717</v>
      </c>
      <c r="AL109" s="286">
        <f t="shared" si="17"/>
        <v>-4932.3199055253717</v>
      </c>
      <c r="AM109" s="286">
        <f t="shared" si="17"/>
        <v>-4692.3199055253717</v>
      </c>
      <c r="AN109" s="286">
        <f t="shared" si="17"/>
        <v>-4452.3199055253717</v>
      </c>
      <c r="AO109" s="286">
        <f t="shared" si="17"/>
        <v>-4212.3199055253717</v>
      </c>
      <c r="AP109" s="286">
        <f t="shared" si="17"/>
        <v>-3972.3199055253717</v>
      </c>
      <c r="AQ109" s="286">
        <f t="shared" si="17"/>
        <v>-3732.3199055253717</v>
      </c>
      <c r="AR109" s="286">
        <f t="shared" si="17"/>
        <v>-3492.3199055253717</v>
      </c>
    </row>
    <row r="110" spans="7:44" x14ac:dyDescent="0.25">
      <c r="G110" s="288">
        <v>0.8</v>
      </c>
      <c r="H110" s="286">
        <f t="shared" si="18"/>
        <v>-5858.7199055253714</v>
      </c>
      <c r="I110" s="286">
        <f t="shared" si="18"/>
        <v>-5556.3199055253717</v>
      </c>
      <c r="J110" s="286">
        <f t="shared" si="18"/>
        <v>-5220.3199055253717</v>
      </c>
      <c r="K110" s="286">
        <f t="shared" si="18"/>
        <v>-4884.3199055253717</v>
      </c>
      <c r="L110" s="286">
        <f t="shared" si="18"/>
        <v>-4548.3199055253717</v>
      </c>
      <c r="M110" s="286">
        <f t="shared" si="18"/>
        <v>-4212.3199055253717</v>
      </c>
      <c r="N110" s="286">
        <f t="shared" si="18"/>
        <v>-3876.3199055253717</v>
      </c>
      <c r="O110" s="286">
        <f t="shared" si="18"/>
        <v>-3540.3199055253722</v>
      </c>
      <c r="P110" s="286">
        <f t="shared" si="18"/>
        <v>-3204.3199055253713</v>
      </c>
      <c r="Q110" s="286">
        <f t="shared" si="18"/>
        <v>-2868.3199055253713</v>
      </c>
      <c r="R110" s="286">
        <f t="shared" si="18"/>
        <v>-2532.3199055253717</v>
      </c>
      <c r="T110" s="288">
        <v>0.8</v>
      </c>
      <c r="U110" s="286">
        <f t="shared" si="19"/>
        <v>-2912.559952762686</v>
      </c>
      <c r="V110" s="286">
        <f t="shared" si="19"/>
        <v>-2610.1599527626859</v>
      </c>
      <c r="W110" s="286">
        <f t="shared" si="19"/>
        <v>-2274.1599527626859</v>
      </c>
      <c r="X110" s="286">
        <f t="shared" si="19"/>
        <v>-1938.1599527626859</v>
      </c>
      <c r="Y110" s="286">
        <f t="shared" si="19"/>
        <v>-1602.1599527626856</v>
      </c>
      <c r="Z110" s="286">
        <f t="shared" si="19"/>
        <v>-1266.1599527626859</v>
      </c>
      <c r="AA110" s="286">
        <f t="shared" si="19"/>
        <v>-930.15995276268586</v>
      </c>
      <c r="AB110" s="286">
        <f t="shared" si="19"/>
        <v>-594.15995276268632</v>
      </c>
      <c r="AC110" s="286">
        <f t="shared" si="19"/>
        <v>-258.15995276268541</v>
      </c>
      <c r="AD110" s="286">
        <f t="shared" si="19"/>
        <v>77.840047237314593</v>
      </c>
      <c r="AE110" s="286">
        <f t="shared" si="19"/>
        <v>413.84004723731414</v>
      </c>
      <c r="AG110" s="288">
        <v>0.8</v>
      </c>
      <c r="AH110" s="286">
        <f t="shared" si="17"/>
        <v>-5866.7199055253714</v>
      </c>
      <c r="AI110" s="286">
        <f t="shared" si="17"/>
        <v>-5636.3199055253717</v>
      </c>
      <c r="AJ110" s="286">
        <f t="shared" si="17"/>
        <v>-5380.3199055253717</v>
      </c>
      <c r="AK110" s="286">
        <f t="shared" si="17"/>
        <v>-5124.3199055253717</v>
      </c>
      <c r="AL110" s="286">
        <f t="shared" si="17"/>
        <v>-4868.3199055253717</v>
      </c>
      <c r="AM110" s="286">
        <f t="shared" si="17"/>
        <v>-4612.3199055253717</v>
      </c>
      <c r="AN110" s="286">
        <f t="shared" si="17"/>
        <v>-4356.3199055253717</v>
      </c>
      <c r="AO110" s="286">
        <f t="shared" si="17"/>
        <v>-4100.3199055253717</v>
      </c>
      <c r="AP110" s="286">
        <f t="shared" si="17"/>
        <v>-3844.3199055253713</v>
      </c>
      <c r="AQ110" s="286">
        <f t="shared" si="17"/>
        <v>-3588.3199055253713</v>
      </c>
      <c r="AR110" s="286">
        <f t="shared" si="17"/>
        <v>-3332.3199055253717</v>
      </c>
    </row>
    <row r="111" spans="7:44" x14ac:dyDescent="0.25">
      <c r="G111" s="288">
        <v>0.85</v>
      </c>
      <c r="H111" s="286">
        <f t="shared" si="18"/>
        <v>-5856.6199055253719</v>
      </c>
      <c r="I111" s="286">
        <f t="shared" si="18"/>
        <v>-5535.3199055253717</v>
      </c>
      <c r="J111" s="286">
        <f t="shared" si="18"/>
        <v>-5178.3199055253717</v>
      </c>
      <c r="K111" s="286">
        <f t="shared" si="18"/>
        <v>-4821.3199055253717</v>
      </c>
      <c r="L111" s="286">
        <f t="shared" si="18"/>
        <v>-4464.3199055253717</v>
      </c>
      <c r="M111" s="286">
        <f t="shared" si="18"/>
        <v>-4107.3199055253717</v>
      </c>
      <c r="N111" s="286">
        <f t="shared" si="18"/>
        <v>-3750.3199055253717</v>
      </c>
      <c r="O111" s="286">
        <f t="shared" si="18"/>
        <v>-3393.3199055253717</v>
      </c>
      <c r="P111" s="286">
        <f t="shared" si="18"/>
        <v>-3036.3199055253717</v>
      </c>
      <c r="Q111" s="286">
        <f t="shared" si="18"/>
        <v>-2679.3199055253717</v>
      </c>
      <c r="R111" s="286">
        <f t="shared" si="18"/>
        <v>-2322.3199055253717</v>
      </c>
      <c r="T111" s="288">
        <v>0.85</v>
      </c>
      <c r="U111" s="286">
        <f t="shared" si="19"/>
        <v>-2910.459952762686</v>
      </c>
      <c r="V111" s="286">
        <f t="shared" si="19"/>
        <v>-2589.1599527626859</v>
      </c>
      <c r="W111" s="286">
        <f t="shared" si="19"/>
        <v>-2232.1599527626859</v>
      </c>
      <c r="X111" s="286">
        <f t="shared" si="19"/>
        <v>-1875.1599527626859</v>
      </c>
      <c r="Y111" s="286">
        <f t="shared" si="19"/>
        <v>-1518.1599527626859</v>
      </c>
      <c r="Z111" s="286">
        <f t="shared" si="19"/>
        <v>-1161.1599527626859</v>
      </c>
      <c r="AA111" s="286">
        <f t="shared" si="19"/>
        <v>-804.15995276268586</v>
      </c>
      <c r="AB111" s="286">
        <f t="shared" si="19"/>
        <v>-447.15995276268586</v>
      </c>
      <c r="AC111" s="286">
        <f t="shared" si="19"/>
        <v>-90.159952762685862</v>
      </c>
      <c r="AD111" s="286">
        <f t="shared" si="19"/>
        <v>266.84004723731414</v>
      </c>
      <c r="AE111" s="286">
        <f t="shared" si="19"/>
        <v>623.84004723731414</v>
      </c>
      <c r="AG111" s="288">
        <v>0.85</v>
      </c>
      <c r="AH111" s="286">
        <f t="shared" si="17"/>
        <v>-5865.1199055253719</v>
      </c>
      <c r="AI111" s="286">
        <f t="shared" si="17"/>
        <v>-5620.3199055253717</v>
      </c>
      <c r="AJ111" s="286">
        <f t="shared" si="17"/>
        <v>-5348.3199055253717</v>
      </c>
      <c r="AK111" s="286">
        <f t="shared" si="17"/>
        <v>-5076.3199055253717</v>
      </c>
      <c r="AL111" s="286">
        <f t="shared" si="17"/>
        <v>-4804.3199055253717</v>
      </c>
      <c r="AM111" s="286">
        <f t="shared" si="17"/>
        <v>-4532.3199055253717</v>
      </c>
      <c r="AN111" s="286">
        <f t="shared" si="17"/>
        <v>-4260.3199055253717</v>
      </c>
      <c r="AO111" s="286">
        <f t="shared" si="17"/>
        <v>-3988.3199055253717</v>
      </c>
      <c r="AP111" s="286">
        <f t="shared" si="17"/>
        <v>-3716.3199055253717</v>
      </c>
      <c r="AQ111" s="286">
        <f t="shared" si="17"/>
        <v>-3444.3199055253717</v>
      </c>
      <c r="AR111" s="286">
        <f t="shared" si="17"/>
        <v>-3172.3199055253717</v>
      </c>
    </row>
    <row r="112" spans="7:44" x14ac:dyDescent="0.25">
      <c r="G112" s="288">
        <v>0.9</v>
      </c>
      <c r="H112" s="286">
        <f t="shared" si="18"/>
        <v>-5854.5199055253715</v>
      </c>
      <c r="I112" s="286">
        <f t="shared" si="18"/>
        <v>-5514.3199055253717</v>
      </c>
      <c r="J112" s="286">
        <f t="shared" si="18"/>
        <v>-5136.3199055253717</v>
      </c>
      <c r="K112" s="286">
        <f t="shared" si="18"/>
        <v>-4758.3199055253717</v>
      </c>
      <c r="L112" s="286">
        <f t="shared" si="18"/>
        <v>-4380.3199055253717</v>
      </c>
      <c r="M112" s="286">
        <f t="shared" si="18"/>
        <v>-4002.3199055253717</v>
      </c>
      <c r="N112" s="286">
        <f t="shared" si="18"/>
        <v>-3624.3199055253717</v>
      </c>
      <c r="O112" s="286">
        <f t="shared" si="18"/>
        <v>-3246.3199055253717</v>
      </c>
      <c r="P112" s="286">
        <f t="shared" si="18"/>
        <v>-2868.3199055253713</v>
      </c>
      <c r="Q112" s="286">
        <f t="shared" si="18"/>
        <v>-2490.3199055253717</v>
      </c>
      <c r="R112" s="286">
        <f t="shared" si="18"/>
        <v>-2112.3199055253717</v>
      </c>
      <c r="T112" s="288">
        <v>0.9</v>
      </c>
      <c r="U112" s="286">
        <f t="shared" si="19"/>
        <v>-2908.3599527626857</v>
      </c>
      <c r="V112" s="286">
        <f t="shared" si="19"/>
        <v>-2568.1599527626859</v>
      </c>
      <c r="W112" s="286">
        <f t="shared" si="19"/>
        <v>-2190.1599527626859</v>
      </c>
      <c r="X112" s="286">
        <f t="shared" si="19"/>
        <v>-1812.1599527626859</v>
      </c>
      <c r="Y112" s="286">
        <f t="shared" si="19"/>
        <v>-1434.1599527626856</v>
      </c>
      <c r="Z112" s="286">
        <f t="shared" si="19"/>
        <v>-1056.1599527626859</v>
      </c>
      <c r="AA112" s="286">
        <f t="shared" si="19"/>
        <v>-678.15995276268586</v>
      </c>
      <c r="AB112" s="286">
        <f t="shared" si="19"/>
        <v>-300.15995276268586</v>
      </c>
      <c r="AC112" s="286">
        <f t="shared" si="19"/>
        <v>77.840047237314593</v>
      </c>
      <c r="AD112" s="286">
        <f t="shared" si="19"/>
        <v>455.84004723731414</v>
      </c>
      <c r="AE112" s="286">
        <f t="shared" si="19"/>
        <v>833.84004723731414</v>
      </c>
      <c r="AG112" s="288">
        <v>0.9</v>
      </c>
      <c r="AH112" s="286">
        <f t="shared" si="17"/>
        <v>-5863.5199055253715</v>
      </c>
      <c r="AI112" s="286">
        <f t="shared" si="17"/>
        <v>-5604.3199055253717</v>
      </c>
      <c r="AJ112" s="286">
        <f t="shared" si="17"/>
        <v>-5316.3199055253717</v>
      </c>
      <c r="AK112" s="286">
        <f t="shared" si="17"/>
        <v>-5028.3199055253717</v>
      </c>
      <c r="AL112" s="286">
        <f t="shared" si="17"/>
        <v>-4740.3199055253717</v>
      </c>
      <c r="AM112" s="286">
        <f t="shared" si="17"/>
        <v>-4452.3199055253717</v>
      </c>
      <c r="AN112" s="286">
        <f t="shared" si="17"/>
        <v>-4164.3199055253717</v>
      </c>
      <c r="AO112" s="286">
        <f t="shared" si="17"/>
        <v>-3876.3199055253717</v>
      </c>
      <c r="AP112" s="286">
        <f t="shared" si="17"/>
        <v>-3588.3199055253713</v>
      </c>
      <c r="AQ112" s="286">
        <f t="shared" si="17"/>
        <v>-3300.3199055253717</v>
      </c>
      <c r="AR112" s="286">
        <f t="shared" si="17"/>
        <v>-3012.3199055253717</v>
      </c>
    </row>
    <row r="113" spans="7:44" x14ac:dyDescent="0.25">
      <c r="G113" s="288">
        <v>0.95</v>
      </c>
      <c r="H113" s="286">
        <f t="shared" si="18"/>
        <v>-5852.4199055253721</v>
      </c>
      <c r="I113" s="286">
        <f t="shared" si="18"/>
        <v>-5493.3199055253717</v>
      </c>
      <c r="J113" s="286">
        <f t="shared" si="18"/>
        <v>-5094.3199055253717</v>
      </c>
      <c r="K113" s="286">
        <f t="shared" si="18"/>
        <v>-4695.3199055253717</v>
      </c>
      <c r="L113" s="286">
        <f t="shared" si="18"/>
        <v>-4296.3199055253717</v>
      </c>
      <c r="M113" s="286">
        <f t="shared" si="18"/>
        <v>-3897.3199055253717</v>
      </c>
      <c r="N113" s="286">
        <f t="shared" si="18"/>
        <v>-3498.3199055253717</v>
      </c>
      <c r="O113" s="286">
        <f t="shared" si="18"/>
        <v>-3099.3199055253722</v>
      </c>
      <c r="P113" s="286">
        <f t="shared" si="18"/>
        <v>-2700.3199055253717</v>
      </c>
      <c r="Q113" s="286">
        <f t="shared" si="18"/>
        <v>-2301.3199055253717</v>
      </c>
      <c r="R113" s="286">
        <f t="shared" si="18"/>
        <v>-1902.3199055253717</v>
      </c>
      <c r="T113" s="288">
        <v>0.95</v>
      </c>
      <c r="U113" s="286">
        <f t="shared" si="19"/>
        <v>-2906.2599527626858</v>
      </c>
      <c r="V113" s="286">
        <f t="shared" si="19"/>
        <v>-2547.1599527626859</v>
      </c>
      <c r="W113" s="286">
        <f t="shared" si="19"/>
        <v>-2148.1599527626859</v>
      </c>
      <c r="X113" s="286">
        <f t="shared" si="19"/>
        <v>-1749.1599527626859</v>
      </c>
      <c r="Y113" s="286">
        <f t="shared" si="19"/>
        <v>-1350.1599527626859</v>
      </c>
      <c r="Z113" s="286">
        <f t="shared" si="19"/>
        <v>-951.15995276268586</v>
      </c>
      <c r="AA113" s="286">
        <f t="shared" si="19"/>
        <v>-552.15995276268586</v>
      </c>
      <c r="AB113" s="286">
        <f t="shared" si="19"/>
        <v>-153.15995276268632</v>
      </c>
      <c r="AC113" s="286">
        <f t="shared" si="19"/>
        <v>245.84004723731414</v>
      </c>
      <c r="AD113" s="286">
        <f t="shared" si="19"/>
        <v>644.84004723731414</v>
      </c>
      <c r="AE113" s="286">
        <f t="shared" si="19"/>
        <v>1043.8400472373141</v>
      </c>
      <c r="AG113" s="288">
        <v>0.95</v>
      </c>
      <c r="AH113" s="286">
        <f t="shared" si="17"/>
        <v>-5861.9199055253721</v>
      </c>
      <c r="AI113" s="286">
        <f t="shared" si="17"/>
        <v>-5588.3199055253717</v>
      </c>
      <c r="AJ113" s="286">
        <f t="shared" si="17"/>
        <v>-5284.3199055253717</v>
      </c>
      <c r="AK113" s="286">
        <f t="shared" si="17"/>
        <v>-4980.3199055253717</v>
      </c>
      <c r="AL113" s="286">
        <f t="shared" si="17"/>
        <v>-4676.3199055253717</v>
      </c>
      <c r="AM113" s="286">
        <f t="shared" si="17"/>
        <v>-4372.3199055253717</v>
      </c>
      <c r="AN113" s="286">
        <f t="shared" si="17"/>
        <v>-4068.3199055253717</v>
      </c>
      <c r="AO113" s="286">
        <f t="shared" si="17"/>
        <v>-3764.3199055253722</v>
      </c>
      <c r="AP113" s="286">
        <f t="shared" si="17"/>
        <v>-3460.3199055253717</v>
      </c>
      <c r="AQ113" s="286">
        <f t="shared" si="17"/>
        <v>-3156.3199055253717</v>
      </c>
      <c r="AR113" s="286">
        <f t="shared" si="17"/>
        <v>-2852.3199055253717</v>
      </c>
    </row>
    <row r="114" spans="7:44" ht="15.75" thickBot="1" x14ac:dyDescent="0.3">
      <c r="G114" s="287">
        <v>1</v>
      </c>
      <c r="H114" s="286">
        <f t="shared" si="18"/>
        <v>-5850.3199055253717</v>
      </c>
      <c r="I114" s="286">
        <f t="shared" si="18"/>
        <v>-5472.3199055253717</v>
      </c>
      <c r="J114" s="286">
        <f t="shared" si="18"/>
        <v>-5052.3199055253717</v>
      </c>
      <c r="K114" s="286">
        <f t="shared" si="18"/>
        <v>-4632.3199055253717</v>
      </c>
      <c r="L114" s="286">
        <f t="shared" si="18"/>
        <v>-4212.3199055253717</v>
      </c>
      <c r="M114" s="286">
        <f t="shared" si="18"/>
        <v>-3792.3199055253717</v>
      </c>
      <c r="N114" s="286">
        <f t="shared" si="18"/>
        <v>-3372.3199055253717</v>
      </c>
      <c r="O114" s="286">
        <f t="shared" si="18"/>
        <v>-2952.3199055253717</v>
      </c>
      <c r="P114" s="286">
        <f t="shared" si="18"/>
        <v>-2532.3199055253717</v>
      </c>
      <c r="Q114" s="286">
        <f t="shared" si="18"/>
        <v>-2112.3199055253717</v>
      </c>
      <c r="R114" s="286">
        <f t="shared" si="18"/>
        <v>-1692.3199055253717</v>
      </c>
      <c r="T114" s="287">
        <v>1</v>
      </c>
      <c r="U114" s="286">
        <f t="shared" si="19"/>
        <v>-2904.1599527626859</v>
      </c>
      <c r="V114" s="286">
        <f t="shared" si="19"/>
        <v>-2526.1599527626859</v>
      </c>
      <c r="W114" s="286">
        <f t="shared" si="19"/>
        <v>-2106.1599527626859</v>
      </c>
      <c r="X114" s="286">
        <f t="shared" si="19"/>
        <v>-1686.1599527626859</v>
      </c>
      <c r="Y114" s="286">
        <f t="shared" si="19"/>
        <v>-1266.1599527626859</v>
      </c>
      <c r="Z114" s="286">
        <f t="shared" si="19"/>
        <v>-846.15995276268586</v>
      </c>
      <c r="AA114" s="286">
        <f t="shared" si="19"/>
        <v>-426.15995276268586</v>
      </c>
      <c r="AB114" s="286">
        <f t="shared" si="19"/>
        <v>-6.1599527626858617</v>
      </c>
      <c r="AC114" s="286">
        <f t="shared" si="19"/>
        <v>413.84004723731414</v>
      </c>
      <c r="AD114" s="286">
        <f t="shared" si="19"/>
        <v>833.84004723731414</v>
      </c>
      <c r="AE114" s="286">
        <f t="shared" si="19"/>
        <v>1253.8400472373141</v>
      </c>
      <c r="AG114" s="287">
        <v>1</v>
      </c>
      <c r="AH114" s="286">
        <f t="shared" si="17"/>
        <v>-5860.3199055253717</v>
      </c>
      <c r="AI114" s="286">
        <f t="shared" si="17"/>
        <v>-5572.3199055253717</v>
      </c>
      <c r="AJ114" s="286">
        <f t="shared" si="17"/>
        <v>-5252.3199055253717</v>
      </c>
      <c r="AK114" s="286">
        <f t="shared" si="17"/>
        <v>-4932.3199055253717</v>
      </c>
      <c r="AL114" s="286">
        <f t="shared" si="17"/>
        <v>-4612.3199055253717</v>
      </c>
      <c r="AM114" s="286">
        <f t="shared" si="17"/>
        <v>-4292.3199055253717</v>
      </c>
      <c r="AN114" s="286">
        <f t="shared" si="17"/>
        <v>-3972.3199055253717</v>
      </c>
      <c r="AO114" s="286">
        <f t="shared" si="17"/>
        <v>-3652.3199055253717</v>
      </c>
      <c r="AP114" s="286">
        <f t="shared" si="17"/>
        <v>-3332.3199055253717</v>
      </c>
      <c r="AQ114" s="286">
        <f t="shared" si="17"/>
        <v>-3012.3199055253717</v>
      </c>
      <c r="AR114" s="286">
        <f t="shared" si="17"/>
        <v>-2692.3199055253717</v>
      </c>
    </row>
    <row r="118" spans="7:44" x14ac:dyDescent="0.25">
      <c r="G118" s="340" t="s">
        <v>286</v>
      </c>
      <c r="H118" s="340"/>
      <c r="I118" s="340"/>
      <c r="J118" s="340"/>
      <c r="K118" s="340"/>
      <c r="L118" s="340"/>
      <c r="M118" s="340"/>
      <c r="N118" s="340"/>
      <c r="O118" s="340"/>
      <c r="P118" s="340"/>
      <c r="Q118" s="340"/>
      <c r="R118" s="340"/>
      <c r="T118" s="340" t="str">
        <f>CONCATENATE("Carcass Composting", TEXT($C$32," (0%")," Subsidy)")</f>
        <v>Carcass Composting (50% Subsidy)</v>
      </c>
      <c r="U118" s="340"/>
      <c r="V118" s="340"/>
      <c r="W118" s="340"/>
      <c r="X118" s="340"/>
      <c r="Y118" s="340"/>
      <c r="Z118" s="340"/>
      <c r="AA118" s="340"/>
      <c r="AB118" s="340"/>
      <c r="AC118" s="340"/>
      <c r="AD118" s="340"/>
      <c r="AE118" s="340"/>
      <c r="AG118" s="340" t="str">
        <f>CONCATENATE("Carcass Composting", TEXT($C$33," (0%")," Livestock Compensation)")</f>
        <v>Carcass Composting (25% Livestock Compensation)</v>
      </c>
      <c r="AH118" s="340"/>
      <c r="AI118" s="340"/>
      <c r="AJ118" s="340"/>
      <c r="AK118" s="340"/>
      <c r="AL118" s="340"/>
      <c r="AM118" s="340"/>
      <c r="AN118" s="340"/>
      <c r="AO118" s="340"/>
      <c r="AP118" s="340"/>
      <c r="AQ118" s="340"/>
      <c r="AR118" s="340"/>
    </row>
    <row r="119" spans="7:44" ht="15.75" thickBot="1" x14ac:dyDescent="0.3">
      <c r="G119" s="344"/>
      <c r="H119" s="344"/>
      <c r="I119" s="344"/>
      <c r="J119" s="344"/>
      <c r="K119" s="344"/>
      <c r="L119" s="344"/>
      <c r="M119" s="344"/>
      <c r="N119" s="344"/>
      <c r="O119" s="344"/>
      <c r="P119" s="344"/>
      <c r="Q119" s="344"/>
      <c r="R119" s="344"/>
      <c r="T119" s="344"/>
      <c r="U119" s="344"/>
      <c r="V119" s="344"/>
      <c r="W119" s="344"/>
      <c r="X119" s="344"/>
      <c r="Y119" s="344"/>
      <c r="Z119" s="344"/>
      <c r="AA119" s="344"/>
      <c r="AB119" s="344"/>
      <c r="AC119" s="344"/>
      <c r="AD119" s="344"/>
      <c r="AE119" s="344"/>
      <c r="AG119" s="344"/>
      <c r="AH119" s="344"/>
      <c r="AI119" s="344"/>
      <c r="AJ119" s="344"/>
      <c r="AK119" s="344"/>
      <c r="AL119" s="344"/>
      <c r="AM119" s="344"/>
      <c r="AN119" s="344"/>
      <c r="AO119" s="344"/>
      <c r="AP119" s="344"/>
      <c r="AQ119" s="344"/>
      <c r="AR119" s="344"/>
    </row>
    <row r="120" spans="7:44" ht="15.75" thickBot="1" x14ac:dyDescent="0.3">
      <c r="G120" s="292" t="s">
        <v>282</v>
      </c>
      <c r="H120" s="291">
        <v>0.01</v>
      </c>
      <c r="I120" s="291">
        <v>0.1</v>
      </c>
      <c r="J120" s="291">
        <v>0.2</v>
      </c>
      <c r="K120" s="291">
        <v>0.3</v>
      </c>
      <c r="L120" s="291">
        <v>0.4</v>
      </c>
      <c r="M120" s="291">
        <v>0.5</v>
      </c>
      <c r="N120" s="291">
        <v>0.6</v>
      </c>
      <c r="O120" s="291">
        <v>0.7</v>
      </c>
      <c r="P120" s="291">
        <v>0.8</v>
      </c>
      <c r="Q120" s="291">
        <v>0.9</v>
      </c>
      <c r="R120" s="290">
        <v>1</v>
      </c>
      <c r="T120" s="292" t="s">
        <v>282</v>
      </c>
      <c r="U120" s="291">
        <v>0.01</v>
      </c>
      <c r="V120" s="291">
        <v>0.1</v>
      </c>
      <c r="W120" s="291">
        <v>0.2</v>
      </c>
      <c r="X120" s="291">
        <v>0.3</v>
      </c>
      <c r="Y120" s="291">
        <v>0.4</v>
      </c>
      <c r="Z120" s="291">
        <v>0.5</v>
      </c>
      <c r="AA120" s="291">
        <v>0.6</v>
      </c>
      <c r="AB120" s="291">
        <v>0.7</v>
      </c>
      <c r="AC120" s="291">
        <v>0.8</v>
      </c>
      <c r="AD120" s="291">
        <v>0.9</v>
      </c>
      <c r="AE120" s="290">
        <v>1</v>
      </c>
      <c r="AG120" s="292" t="s">
        <v>282</v>
      </c>
      <c r="AH120" s="291">
        <v>0.01</v>
      </c>
      <c r="AI120" s="291">
        <v>0.1</v>
      </c>
      <c r="AJ120" s="291">
        <v>0.2</v>
      </c>
      <c r="AK120" s="291">
        <v>0.3</v>
      </c>
      <c r="AL120" s="291">
        <v>0.4</v>
      </c>
      <c r="AM120" s="291">
        <v>0.5</v>
      </c>
      <c r="AN120" s="291">
        <v>0.6</v>
      </c>
      <c r="AO120" s="291">
        <v>0.7</v>
      </c>
      <c r="AP120" s="291">
        <v>0.8</v>
      </c>
      <c r="AQ120" s="291">
        <v>0.9</v>
      </c>
      <c r="AR120" s="290">
        <v>1</v>
      </c>
    </row>
    <row r="121" spans="7:44" ht="30" x14ac:dyDescent="0.25">
      <c r="G121" s="289" t="s">
        <v>281</v>
      </c>
      <c r="T121" s="289" t="s">
        <v>281</v>
      </c>
      <c r="AG121" s="289" t="s">
        <v>281</v>
      </c>
    </row>
    <row r="122" spans="7:44" x14ac:dyDescent="0.25">
      <c r="G122" s="288">
        <v>0</v>
      </c>
      <c r="H122" s="286">
        <f t="shared" ref="H122:R131" si="20">(((H$120*$G122)*($C$21+$C$23))-($C$28-($C$28*$C$31)))</f>
        <v>-280.64075720782768</v>
      </c>
      <c r="I122" s="286">
        <f t="shared" si="20"/>
        <v>-280.64075720782768</v>
      </c>
      <c r="J122" s="286">
        <f t="shared" si="20"/>
        <v>-280.64075720782768</v>
      </c>
      <c r="K122" s="286">
        <f t="shared" si="20"/>
        <v>-280.64075720782768</v>
      </c>
      <c r="L122" s="286">
        <f t="shared" si="20"/>
        <v>-280.64075720782768</v>
      </c>
      <c r="M122" s="286">
        <f t="shared" si="20"/>
        <v>-280.64075720782768</v>
      </c>
      <c r="N122" s="286">
        <f t="shared" si="20"/>
        <v>-280.64075720782768</v>
      </c>
      <c r="O122" s="286">
        <f t="shared" si="20"/>
        <v>-280.64075720782768</v>
      </c>
      <c r="P122" s="286">
        <f t="shared" si="20"/>
        <v>-280.64075720782768</v>
      </c>
      <c r="Q122" s="286">
        <f t="shared" si="20"/>
        <v>-280.64075720782768</v>
      </c>
      <c r="R122" s="286">
        <f t="shared" si="20"/>
        <v>-280.64075720782768</v>
      </c>
      <c r="T122" s="288">
        <v>0</v>
      </c>
      <c r="U122" s="286">
        <f t="shared" ref="U122:AE131" si="21">(((U$120*$T122)*($C$21+$C$23))-($C$28-($C$28*$C$32)))</f>
        <v>-140.32037860391384</v>
      </c>
      <c r="V122" s="286">
        <f t="shared" si="21"/>
        <v>-140.32037860391384</v>
      </c>
      <c r="W122" s="286">
        <f t="shared" si="21"/>
        <v>-140.32037860391384</v>
      </c>
      <c r="X122" s="286">
        <f t="shared" si="21"/>
        <v>-140.32037860391384</v>
      </c>
      <c r="Y122" s="286">
        <f t="shared" si="21"/>
        <v>-140.32037860391384</v>
      </c>
      <c r="Z122" s="286">
        <f t="shared" si="21"/>
        <v>-140.32037860391384</v>
      </c>
      <c r="AA122" s="286">
        <f t="shared" si="21"/>
        <v>-140.32037860391384</v>
      </c>
      <c r="AB122" s="286">
        <f t="shared" si="21"/>
        <v>-140.32037860391384</v>
      </c>
      <c r="AC122" s="286">
        <f t="shared" si="21"/>
        <v>-140.32037860391384</v>
      </c>
      <c r="AD122" s="286">
        <f t="shared" si="21"/>
        <v>-140.32037860391384</v>
      </c>
      <c r="AE122" s="286">
        <f t="shared" si="21"/>
        <v>-140.32037860391384</v>
      </c>
      <c r="AG122" s="288">
        <v>0</v>
      </c>
      <c r="AH122" s="286">
        <f>(((AH$120*$AG122)*((1-$C$33)*$C$21+$C$23))-($C$28-($C$28*$C$31)))</f>
        <v>-280.64075720782768</v>
      </c>
      <c r="AI122" s="286">
        <f t="shared" ref="AI122:AR122" si="22">(((AI$120*$AG122)*((1-$C$33)*$C$21+$C$23))-($C$28-($C$28*$C$31)))</f>
        <v>-280.64075720782768</v>
      </c>
      <c r="AJ122" s="286">
        <f t="shared" si="22"/>
        <v>-280.64075720782768</v>
      </c>
      <c r="AK122" s="286">
        <f t="shared" si="22"/>
        <v>-280.64075720782768</v>
      </c>
      <c r="AL122" s="286">
        <f t="shared" si="22"/>
        <v>-280.64075720782768</v>
      </c>
      <c r="AM122" s="286">
        <f t="shared" si="22"/>
        <v>-280.64075720782768</v>
      </c>
      <c r="AN122" s="286">
        <f t="shared" si="22"/>
        <v>-280.64075720782768</v>
      </c>
      <c r="AO122" s="286">
        <f t="shared" si="22"/>
        <v>-280.64075720782768</v>
      </c>
      <c r="AP122" s="286">
        <f t="shared" si="22"/>
        <v>-280.64075720782768</v>
      </c>
      <c r="AQ122" s="286">
        <f t="shared" si="22"/>
        <v>-280.64075720782768</v>
      </c>
      <c r="AR122" s="286">
        <f t="shared" si="22"/>
        <v>-280.64075720782768</v>
      </c>
    </row>
    <row r="123" spans="7:44" hidden="1" outlineLevel="2" x14ac:dyDescent="0.25">
      <c r="G123" s="288">
        <v>0.05</v>
      </c>
      <c r="H123" s="286">
        <f t="shared" si="20"/>
        <v>-278.54075720782765</v>
      </c>
      <c r="I123" s="286">
        <f t="shared" si="20"/>
        <v>-259.64075720782768</v>
      </c>
      <c r="J123" s="286">
        <f t="shared" si="20"/>
        <v>-238.64075720782768</v>
      </c>
      <c r="K123" s="286">
        <f t="shared" si="20"/>
        <v>-217.64075720782768</v>
      </c>
      <c r="L123" s="286">
        <f t="shared" si="20"/>
        <v>-196.64075720782768</v>
      </c>
      <c r="M123" s="286">
        <f t="shared" si="20"/>
        <v>-175.64075720782768</v>
      </c>
      <c r="N123" s="286">
        <f t="shared" si="20"/>
        <v>-154.64075720782768</v>
      </c>
      <c r="O123" s="286">
        <f t="shared" si="20"/>
        <v>-133.6407572078277</v>
      </c>
      <c r="P123" s="286">
        <f t="shared" si="20"/>
        <v>-112.64075720782765</v>
      </c>
      <c r="Q123" s="286">
        <f t="shared" si="20"/>
        <v>-91.640757207827647</v>
      </c>
      <c r="R123" s="286">
        <f t="shared" si="20"/>
        <v>-70.640757207827676</v>
      </c>
      <c r="T123" s="288">
        <v>0.05</v>
      </c>
      <c r="U123" s="286">
        <f t="shared" si="21"/>
        <v>-138.22037860391384</v>
      </c>
      <c r="V123" s="286">
        <f t="shared" si="21"/>
        <v>-119.32037860391384</v>
      </c>
      <c r="W123" s="286">
        <f t="shared" si="21"/>
        <v>-98.320378603913838</v>
      </c>
      <c r="X123" s="286">
        <f t="shared" si="21"/>
        <v>-77.320378603913838</v>
      </c>
      <c r="Y123" s="286">
        <f t="shared" si="21"/>
        <v>-56.320378603913824</v>
      </c>
      <c r="Z123" s="286">
        <f t="shared" si="21"/>
        <v>-35.320378603913838</v>
      </c>
      <c r="AA123" s="286">
        <f t="shared" si="21"/>
        <v>-14.320378603913838</v>
      </c>
      <c r="AB123" s="286">
        <f t="shared" si="21"/>
        <v>6.6796213960861337</v>
      </c>
      <c r="AC123" s="286">
        <f t="shared" si="21"/>
        <v>27.679621396086191</v>
      </c>
      <c r="AD123" s="286">
        <f t="shared" si="21"/>
        <v>48.679621396086191</v>
      </c>
      <c r="AE123" s="286">
        <f t="shared" si="21"/>
        <v>69.679621396086162</v>
      </c>
      <c r="AG123" s="288">
        <v>0.05</v>
      </c>
      <c r="AH123" s="286">
        <f t="shared" ref="AH123:AR142" si="23">(((AH$120*$AG123)*((1-$C$33)*$C$21+$C$23))-($C$28-($C$28*$C$31)))</f>
        <v>-279.04075720782765</v>
      </c>
      <c r="AI123" s="286">
        <f t="shared" si="23"/>
        <v>-264.64075720782768</v>
      </c>
      <c r="AJ123" s="286">
        <f t="shared" si="23"/>
        <v>-248.64075720782768</v>
      </c>
      <c r="AK123" s="286">
        <f t="shared" si="23"/>
        <v>-232.64075720782768</v>
      </c>
      <c r="AL123" s="286">
        <f t="shared" si="23"/>
        <v>-216.64075720782768</v>
      </c>
      <c r="AM123" s="286">
        <f t="shared" si="23"/>
        <v>-200.64075720782768</v>
      </c>
      <c r="AN123" s="286">
        <f t="shared" si="23"/>
        <v>-184.64075720782768</v>
      </c>
      <c r="AO123" s="286">
        <f t="shared" si="23"/>
        <v>-168.64075720782768</v>
      </c>
      <c r="AP123" s="286">
        <f t="shared" si="23"/>
        <v>-152.64075720782765</v>
      </c>
      <c r="AQ123" s="286">
        <f t="shared" si="23"/>
        <v>-136.64075720782765</v>
      </c>
      <c r="AR123" s="286">
        <f t="shared" si="23"/>
        <v>-120.64075720782768</v>
      </c>
    </row>
    <row r="124" spans="7:44" hidden="1" outlineLevel="2" x14ac:dyDescent="0.25">
      <c r="G124" s="288">
        <v>0.1</v>
      </c>
      <c r="H124" s="286">
        <f t="shared" si="20"/>
        <v>-276.44075720782769</v>
      </c>
      <c r="I124" s="286">
        <f t="shared" si="20"/>
        <v>-238.64075720782768</v>
      </c>
      <c r="J124" s="286">
        <f t="shared" si="20"/>
        <v>-196.64075720782768</v>
      </c>
      <c r="K124" s="286">
        <f t="shared" si="20"/>
        <v>-154.64075720782768</v>
      </c>
      <c r="L124" s="286">
        <f t="shared" si="20"/>
        <v>-112.64075720782765</v>
      </c>
      <c r="M124" s="286">
        <f t="shared" si="20"/>
        <v>-70.640757207827676</v>
      </c>
      <c r="N124" s="286">
        <f t="shared" si="20"/>
        <v>-28.640757207827676</v>
      </c>
      <c r="O124" s="286">
        <f t="shared" si="20"/>
        <v>13.359242792172267</v>
      </c>
      <c r="P124" s="286">
        <f t="shared" si="20"/>
        <v>55.359242792172381</v>
      </c>
      <c r="Q124" s="286">
        <f t="shared" si="20"/>
        <v>97.359242792172381</v>
      </c>
      <c r="R124" s="286">
        <f t="shared" si="20"/>
        <v>139.35924279217232</v>
      </c>
      <c r="T124" s="288">
        <v>0.1</v>
      </c>
      <c r="U124" s="286">
        <f t="shared" si="21"/>
        <v>-136.12037860391385</v>
      </c>
      <c r="V124" s="286">
        <f t="shared" si="21"/>
        <v>-98.320378603913838</v>
      </c>
      <c r="W124" s="286">
        <f t="shared" si="21"/>
        <v>-56.320378603913824</v>
      </c>
      <c r="X124" s="286">
        <f t="shared" si="21"/>
        <v>-14.320378603913838</v>
      </c>
      <c r="Y124" s="286">
        <f t="shared" si="21"/>
        <v>27.679621396086191</v>
      </c>
      <c r="Z124" s="286">
        <f t="shared" si="21"/>
        <v>69.679621396086162</v>
      </c>
      <c r="AA124" s="286">
        <f t="shared" si="21"/>
        <v>111.67962139608616</v>
      </c>
      <c r="AB124" s="286">
        <f t="shared" si="21"/>
        <v>153.67962139608611</v>
      </c>
      <c r="AC124" s="286">
        <f t="shared" si="21"/>
        <v>195.67962139608622</v>
      </c>
      <c r="AD124" s="286">
        <f t="shared" si="21"/>
        <v>237.67962139608622</v>
      </c>
      <c r="AE124" s="286">
        <f t="shared" si="21"/>
        <v>279.67962139608619</v>
      </c>
      <c r="AG124" s="288">
        <v>0.1</v>
      </c>
      <c r="AH124" s="286">
        <f t="shared" si="23"/>
        <v>-277.44075720782769</v>
      </c>
      <c r="AI124" s="286">
        <f t="shared" si="23"/>
        <v>-248.64075720782768</v>
      </c>
      <c r="AJ124" s="286">
        <f t="shared" si="23"/>
        <v>-216.64075720782768</v>
      </c>
      <c r="AK124" s="286">
        <f t="shared" si="23"/>
        <v>-184.64075720782768</v>
      </c>
      <c r="AL124" s="286">
        <f t="shared" si="23"/>
        <v>-152.64075720782765</v>
      </c>
      <c r="AM124" s="286">
        <f t="shared" si="23"/>
        <v>-120.64075720782768</v>
      </c>
      <c r="AN124" s="286">
        <f t="shared" si="23"/>
        <v>-88.640757207827676</v>
      </c>
      <c r="AO124" s="286">
        <f t="shared" si="23"/>
        <v>-56.640757207827704</v>
      </c>
      <c r="AP124" s="286">
        <f t="shared" si="23"/>
        <v>-24.640757207827619</v>
      </c>
      <c r="AQ124" s="286">
        <f t="shared" si="23"/>
        <v>7.3592427921723811</v>
      </c>
      <c r="AR124" s="286">
        <f t="shared" si="23"/>
        <v>39.359242792172324</v>
      </c>
    </row>
    <row r="125" spans="7:44" hidden="1" outlineLevel="2" x14ac:dyDescent="0.25">
      <c r="G125" s="288">
        <v>0.15</v>
      </c>
      <c r="H125" s="286">
        <f t="shared" si="20"/>
        <v>-274.34075720782766</v>
      </c>
      <c r="I125" s="286">
        <f t="shared" si="20"/>
        <v>-217.64075720782768</v>
      </c>
      <c r="J125" s="286">
        <f t="shared" si="20"/>
        <v>-154.64075720782768</v>
      </c>
      <c r="K125" s="286">
        <f t="shared" si="20"/>
        <v>-91.640757207827676</v>
      </c>
      <c r="L125" s="286">
        <f t="shared" si="20"/>
        <v>-28.640757207827676</v>
      </c>
      <c r="M125" s="286">
        <f t="shared" si="20"/>
        <v>34.359242792172324</v>
      </c>
      <c r="N125" s="286">
        <f t="shared" si="20"/>
        <v>97.359242792172324</v>
      </c>
      <c r="O125" s="286">
        <f t="shared" si="20"/>
        <v>160.35924279217232</v>
      </c>
      <c r="P125" s="286">
        <f t="shared" si="20"/>
        <v>223.35924279217232</v>
      </c>
      <c r="Q125" s="286">
        <f t="shared" si="20"/>
        <v>286.35924279217232</v>
      </c>
      <c r="R125" s="286">
        <f t="shared" si="20"/>
        <v>349.35924279217232</v>
      </c>
      <c r="T125" s="288">
        <v>0.15</v>
      </c>
      <c r="U125" s="286">
        <f t="shared" si="21"/>
        <v>-134.02037860391383</v>
      </c>
      <c r="V125" s="286">
        <f t="shared" si="21"/>
        <v>-77.320378603913838</v>
      </c>
      <c r="W125" s="286">
        <f t="shared" si="21"/>
        <v>-14.320378603913838</v>
      </c>
      <c r="X125" s="286">
        <f t="shared" si="21"/>
        <v>48.679621396086162</v>
      </c>
      <c r="Y125" s="286">
        <f t="shared" si="21"/>
        <v>111.67962139608616</v>
      </c>
      <c r="Z125" s="286">
        <f t="shared" si="21"/>
        <v>174.67962139608616</v>
      </c>
      <c r="AA125" s="286">
        <f t="shared" si="21"/>
        <v>237.67962139608616</v>
      </c>
      <c r="AB125" s="286">
        <f t="shared" si="21"/>
        <v>300.67962139608619</v>
      </c>
      <c r="AC125" s="286">
        <f t="shared" si="21"/>
        <v>363.67962139608619</v>
      </c>
      <c r="AD125" s="286">
        <f t="shared" si="21"/>
        <v>426.67962139608619</v>
      </c>
      <c r="AE125" s="286">
        <f t="shared" si="21"/>
        <v>489.67962139608619</v>
      </c>
      <c r="AG125" s="288">
        <v>0.15</v>
      </c>
      <c r="AH125" s="286">
        <f t="shared" si="23"/>
        <v>-275.84075720782766</v>
      </c>
      <c r="AI125" s="286">
        <f t="shared" si="23"/>
        <v>-232.64075720782768</v>
      </c>
      <c r="AJ125" s="286">
        <f t="shared" si="23"/>
        <v>-184.64075720782768</v>
      </c>
      <c r="AK125" s="286">
        <f t="shared" si="23"/>
        <v>-136.64075720782768</v>
      </c>
      <c r="AL125" s="286">
        <f t="shared" si="23"/>
        <v>-88.640757207827676</v>
      </c>
      <c r="AM125" s="286">
        <f t="shared" si="23"/>
        <v>-40.640757207827676</v>
      </c>
      <c r="AN125" s="286">
        <f t="shared" si="23"/>
        <v>7.3592427921723242</v>
      </c>
      <c r="AO125" s="286">
        <f t="shared" si="23"/>
        <v>55.359242792172324</v>
      </c>
      <c r="AP125" s="286">
        <f t="shared" si="23"/>
        <v>103.35924279217232</v>
      </c>
      <c r="AQ125" s="286">
        <f t="shared" si="23"/>
        <v>151.35924279217232</v>
      </c>
      <c r="AR125" s="286">
        <f t="shared" si="23"/>
        <v>199.35924279217232</v>
      </c>
    </row>
    <row r="126" spans="7:44" hidden="1" outlineLevel="2" x14ac:dyDescent="0.25">
      <c r="G126" s="288">
        <v>0.2</v>
      </c>
      <c r="H126" s="286">
        <f t="shared" si="20"/>
        <v>-272.2407572078277</v>
      </c>
      <c r="I126" s="286">
        <f t="shared" si="20"/>
        <v>-196.64075720782768</v>
      </c>
      <c r="J126" s="286">
        <f t="shared" si="20"/>
        <v>-112.64075720782765</v>
      </c>
      <c r="K126" s="286">
        <f t="shared" si="20"/>
        <v>-28.640757207827676</v>
      </c>
      <c r="L126" s="286">
        <f t="shared" si="20"/>
        <v>55.359242792172381</v>
      </c>
      <c r="M126" s="286">
        <f t="shared" si="20"/>
        <v>139.35924279217232</v>
      </c>
      <c r="N126" s="286">
        <f t="shared" si="20"/>
        <v>223.35924279217232</v>
      </c>
      <c r="O126" s="286">
        <f t="shared" si="20"/>
        <v>307.35924279217221</v>
      </c>
      <c r="P126" s="286">
        <f t="shared" si="20"/>
        <v>391.35924279217244</v>
      </c>
      <c r="Q126" s="286">
        <f t="shared" si="20"/>
        <v>475.35924279217244</v>
      </c>
      <c r="R126" s="286">
        <f t="shared" si="20"/>
        <v>559.35924279217238</v>
      </c>
      <c r="T126" s="288">
        <v>0.2</v>
      </c>
      <c r="U126" s="286">
        <f t="shared" si="21"/>
        <v>-131.92037860391383</v>
      </c>
      <c r="V126" s="286">
        <f t="shared" si="21"/>
        <v>-56.320378603913824</v>
      </c>
      <c r="W126" s="286">
        <f t="shared" si="21"/>
        <v>27.679621396086191</v>
      </c>
      <c r="X126" s="286">
        <f t="shared" si="21"/>
        <v>111.67962139608616</v>
      </c>
      <c r="Y126" s="286">
        <f t="shared" si="21"/>
        <v>195.67962139608622</v>
      </c>
      <c r="Z126" s="286">
        <f t="shared" si="21"/>
        <v>279.67962139608619</v>
      </c>
      <c r="AA126" s="286">
        <f t="shared" si="21"/>
        <v>363.67962139608619</v>
      </c>
      <c r="AB126" s="286">
        <f t="shared" si="21"/>
        <v>447.67962139608608</v>
      </c>
      <c r="AC126" s="286">
        <f t="shared" si="21"/>
        <v>531.6796213960863</v>
      </c>
      <c r="AD126" s="286">
        <f t="shared" si="21"/>
        <v>615.6796213960863</v>
      </c>
      <c r="AE126" s="286">
        <f t="shared" si="21"/>
        <v>699.67962139608619</v>
      </c>
      <c r="AG126" s="288">
        <v>0.2</v>
      </c>
      <c r="AH126" s="286">
        <f t="shared" si="23"/>
        <v>-274.2407572078277</v>
      </c>
      <c r="AI126" s="286">
        <f t="shared" si="23"/>
        <v>-216.64075720782768</v>
      </c>
      <c r="AJ126" s="286">
        <f t="shared" si="23"/>
        <v>-152.64075720782765</v>
      </c>
      <c r="AK126" s="286">
        <f t="shared" si="23"/>
        <v>-88.640757207827676</v>
      </c>
      <c r="AL126" s="286">
        <f t="shared" si="23"/>
        <v>-24.640757207827619</v>
      </c>
      <c r="AM126" s="286">
        <f t="shared" si="23"/>
        <v>39.359242792172324</v>
      </c>
      <c r="AN126" s="286">
        <f t="shared" si="23"/>
        <v>103.35924279217232</v>
      </c>
      <c r="AO126" s="286">
        <f t="shared" si="23"/>
        <v>167.35924279217227</v>
      </c>
      <c r="AP126" s="286">
        <f t="shared" si="23"/>
        <v>231.35924279217244</v>
      </c>
      <c r="AQ126" s="286">
        <f t="shared" si="23"/>
        <v>295.35924279217244</v>
      </c>
      <c r="AR126" s="286">
        <f t="shared" si="23"/>
        <v>359.35924279217232</v>
      </c>
    </row>
    <row r="127" spans="7:44" hidden="1" outlineLevel="2" x14ac:dyDescent="0.25">
      <c r="G127" s="288">
        <v>0.25</v>
      </c>
      <c r="H127" s="286">
        <f t="shared" si="20"/>
        <v>-270.14075720782768</v>
      </c>
      <c r="I127" s="286">
        <f t="shared" si="20"/>
        <v>-175.64075720782768</v>
      </c>
      <c r="J127" s="286">
        <f t="shared" si="20"/>
        <v>-70.640757207827676</v>
      </c>
      <c r="K127" s="286">
        <f t="shared" si="20"/>
        <v>34.359242792172324</v>
      </c>
      <c r="L127" s="286">
        <f t="shared" si="20"/>
        <v>139.35924279217232</v>
      </c>
      <c r="M127" s="286">
        <f t="shared" si="20"/>
        <v>244.35924279217232</v>
      </c>
      <c r="N127" s="286">
        <f t="shared" si="20"/>
        <v>349.35924279217232</v>
      </c>
      <c r="O127" s="286">
        <f t="shared" si="20"/>
        <v>454.35924279217232</v>
      </c>
      <c r="P127" s="286">
        <f t="shared" si="20"/>
        <v>559.35924279217238</v>
      </c>
      <c r="Q127" s="286">
        <f t="shared" si="20"/>
        <v>664.35924279217238</v>
      </c>
      <c r="R127" s="286">
        <f t="shared" si="20"/>
        <v>769.35924279217238</v>
      </c>
      <c r="T127" s="288">
        <v>0.25</v>
      </c>
      <c r="U127" s="286">
        <f t="shared" si="21"/>
        <v>-129.82037860391384</v>
      </c>
      <c r="V127" s="286">
        <f t="shared" si="21"/>
        <v>-35.320378603913838</v>
      </c>
      <c r="W127" s="286">
        <f t="shared" si="21"/>
        <v>69.679621396086162</v>
      </c>
      <c r="X127" s="286">
        <f t="shared" si="21"/>
        <v>174.67962139608616</v>
      </c>
      <c r="Y127" s="286">
        <f t="shared" si="21"/>
        <v>279.67962139608619</v>
      </c>
      <c r="Z127" s="286">
        <f t="shared" si="21"/>
        <v>384.67962139608619</v>
      </c>
      <c r="AA127" s="286">
        <f t="shared" si="21"/>
        <v>489.67962139608619</v>
      </c>
      <c r="AB127" s="286">
        <f t="shared" si="21"/>
        <v>594.67962139608619</v>
      </c>
      <c r="AC127" s="286">
        <f t="shared" si="21"/>
        <v>699.67962139608619</v>
      </c>
      <c r="AD127" s="286">
        <f t="shared" si="21"/>
        <v>804.67962139608619</v>
      </c>
      <c r="AE127" s="286">
        <f t="shared" si="21"/>
        <v>909.67962139608619</v>
      </c>
      <c r="AG127" s="288">
        <v>0.25</v>
      </c>
      <c r="AH127" s="286">
        <f t="shared" si="23"/>
        <v>-272.64075720782768</v>
      </c>
      <c r="AI127" s="286">
        <f t="shared" si="23"/>
        <v>-200.64075720782768</v>
      </c>
      <c r="AJ127" s="286">
        <f t="shared" si="23"/>
        <v>-120.64075720782768</v>
      </c>
      <c r="AK127" s="286">
        <f t="shared" si="23"/>
        <v>-40.640757207827676</v>
      </c>
      <c r="AL127" s="286">
        <f t="shared" si="23"/>
        <v>39.359242792172324</v>
      </c>
      <c r="AM127" s="286">
        <f t="shared" si="23"/>
        <v>119.35924279217232</v>
      </c>
      <c r="AN127" s="286">
        <f t="shared" si="23"/>
        <v>199.35924279217232</v>
      </c>
      <c r="AO127" s="286">
        <f t="shared" si="23"/>
        <v>279.35924279217232</v>
      </c>
      <c r="AP127" s="286">
        <f t="shared" si="23"/>
        <v>359.35924279217232</v>
      </c>
      <c r="AQ127" s="286">
        <f t="shared" si="23"/>
        <v>439.35924279217232</v>
      </c>
      <c r="AR127" s="286">
        <f t="shared" si="23"/>
        <v>519.35924279217238</v>
      </c>
    </row>
    <row r="128" spans="7:44" hidden="1" outlineLevel="2" x14ac:dyDescent="0.25">
      <c r="G128" s="288">
        <v>0.3</v>
      </c>
      <c r="H128" s="286">
        <f t="shared" si="20"/>
        <v>-268.04075720782765</v>
      </c>
      <c r="I128" s="286">
        <f t="shared" si="20"/>
        <v>-154.64075720782768</v>
      </c>
      <c r="J128" s="286">
        <f t="shared" si="20"/>
        <v>-28.640757207827676</v>
      </c>
      <c r="K128" s="286">
        <f t="shared" si="20"/>
        <v>97.359242792172324</v>
      </c>
      <c r="L128" s="286">
        <f t="shared" si="20"/>
        <v>223.35924279217232</v>
      </c>
      <c r="M128" s="286">
        <f t="shared" si="20"/>
        <v>349.35924279217232</v>
      </c>
      <c r="N128" s="286">
        <f t="shared" si="20"/>
        <v>475.35924279217232</v>
      </c>
      <c r="O128" s="286">
        <f t="shared" si="20"/>
        <v>601.35924279217238</v>
      </c>
      <c r="P128" s="286">
        <f t="shared" si="20"/>
        <v>727.35924279217238</v>
      </c>
      <c r="Q128" s="286">
        <f t="shared" si="20"/>
        <v>853.35924279217238</v>
      </c>
      <c r="R128" s="286">
        <f t="shared" si="20"/>
        <v>979.35924279217238</v>
      </c>
      <c r="T128" s="288">
        <v>0.3</v>
      </c>
      <c r="U128" s="286">
        <f t="shared" si="21"/>
        <v>-127.72037860391384</v>
      </c>
      <c r="V128" s="286">
        <f t="shared" si="21"/>
        <v>-14.320378603913838</v>
      </c>
      <c r="W128" s="286">
        <f t="shared" si="21"/>
        <v>111.67962139608616</v>
      </c>
      <c r="X128" s="286">
        <f t="shared" si="21"/>
        <v>237.67962139608616</v>
      </c>
      <c r="Y128" s="286">
        <f t="shared" si="21"/>
        <v>363.67962139608619</v>
      </c>
      <c r="Z128" s="286">
        <f t="shared" si="21"/>
        <v>489.67962139608619</v>
      </c>
      <c r="AA128" s="286">
        <f t="shared" si="21"/>
        <v>615.67962139608619</v>
      </c>
      <c r="AB128" s="286">
        <f t="shared" si="21"/>
        <v>741.67962139608619</v>
      </c>
      <c r="AC128" s="286">
        <f t="shared" si="21"/>
        <v>867.67962139608619</v>
      </c>
      <c r="AD128" s="286">
        <f t="shared" si="21"/>
        <v>993.67962139608619</v>
      </c>
      <c r="AE128" s="286">
        <f t="shared" si="21"/>
        <v>1119.6796213960861</v>
      </c>
      <c r="AG128" s="288">
        <v>0.3</v>
      </c>
      <c r="AH128" s="286">
        <f t="shared" si="23"/>
        <v>-271.04075720782765</v>
      </c>
      <c r="AI128" s="286">
        <f t="shared" si="23"/>
        <v>-184.64075720782768</v>
      </c>
      <c r="AJ128" s="286">
        <f t="shared" si="23"/>
        <v>-88.640757207827676</v>
      </c>
      <c r="AK128" s="286">
        <f t="shared" si="23"/>
        <v>7.3592427921723242</v>
      </c>
      <c r="AL128" s="286">
        <f t="shared" si="23"/>
        <v>103.35924279217232</v>
      </c>
      <c r="AM128" s="286">
        <f t="shared" si="23"/>
        <v>199.35924279217232</v>
      </c>
      <c r="AN128" s="286">
        <f t="shared" si="23"/>
        <v>295.35924279217232</v>
      </c>
      <c r="AO128" s="286">
        <f t="shared" si="23"/>
        <v>391.35924279217232</v>
      </c>
      <c r="AP128" s="286">
        <f t="shared" si="23"/>
        <v>487.35924279217232</v>
      </c>
      <c r="AQ128" s="286">
        <f t="shared" si="23"/>
        <v>583.35924279217238</v>
      </c>
      <c r="AR128" s="286">
        <f t="shared" si="23"/>
        <v>679.35924279217238</v>
      </c>
    </row>
    <row r="129" spans="7:44" hidden="1" outlineLevel="2" x14ac:dyDescent="0.25">
      <c r="G129" s="288">
        <v>0.35</v>
      </c>
      <c r="H129" s="286">
        <f t="shared" si="20"/>
        <v>-265.94075720782769</v>
      </c>
      <c r="I129" s="286">
        <f t="shared" si="20"/>
        <v>-133.6407572078277</v>
      </c>
      <c r="J129" s="286">
        <f t="shared" si="20"/>
        <v>13.359242792172267</v>
      </c>
      <c r="K129" s="286">
        <f t="shared" si="20"/>
        <v>160.35924279217232</v>
      </c>
      <c r="L129" s="286">
        <f t="shared" si="20"/>
        <v>307.35924279217221</v>
      </c>
      <c r="M129" s="286">
        <f t="shared" si="20"/>
        <v>454.35924279217232</v>
      </c>
      <c r="N129" s="286">
        <f t="shared" si="20"/>
        <v>601.35924279217238</v>
      </c>
      <c r="O129" s="286">
        <f t="shared" si="20"/>
        <v>748.35924279217215</v>
      </c>
      <c r="P129" s="286">
        <f t="shared" si="20"/>
        <v>895.35924279217215</v>
      </c>
      <c r="Q129" s="286">
        <f t="shared" si="20"/>
        <v>1042.3592427921724</v>
      </c>
      <c r="R129" s="286">
        <f t="shared" si="20"/>
        <v>1189.3592427921724</v>
      </c>
      <c r="T129" s="288">
        <v>0.35</v>
      </c>
      <c r="U129" s="286">
        <f t="shared" si="21"/>
        <v>-125.62037860391384</v>
      </c>
      <c r="V129" s="286">
        <f t="shared" si="21"/>
        <v>6.6796213960861337</v>
      </c>
      <c r="W129" s="286">
        <f t="shared" si="21"/>
        <v>153.67962139608611</v>
      </c>
      <c r="X129" s="286">
        <f t="shared" si="21"/>
        <v>300.67962139608619</v>
      </c>
      <c r="Y129" s="286">
        <f t="shared" si="21"/>
        <v>447.67962139608608</v>
      </c>
      <c r="Z129" s="286">
        <f t="shared" si="21"/>
        <v>594.67962139608619</v>
      </c>
      <c r="AA129" s="286">
        <f t="shared" si="21"/>
        <v>741.67962139608619</v>
      </c>
      <c r="AB129" s="286">
        <f t="shared" si="21"/>
        <v>888.67962139608596</v>
      </c>
      <c r="AC129" s="286">
        <f t="shared" si="21"/>
        <v>1035.6796213960858</v>
      </c>
      <c r="AD129" s="286">
        <f t="shared" si="21"/>
        <v>1182.6796213960861</v>
      </c>
      <c r="AE129" s="286">
        <f t="shared" si="21"/>
        <v>1329.6796213960861</v>
      </c>
      <c r="AG129" s="288">
        <v>0.35</v>
      </c>
      <c r="AH129" s="286">
        <f t="shared" si="23"/>
        <v>-269.44075720782769</v>
      </c>
      <c r="AI129" s="286">
        <f t="shared" si="23"/>
        <v>-168.64075720782768</v>
      </c>
      <c r="AJ129" s="286">
        <f t="shared" si="23"/>
        <v>-56.640757207827704</v>
      </c>
      <c r="AK129" s="286">
        <f t="shared" si="23"/>
        <v>55.359242792172324</v>
      </c>
      <c r="AL129" s="286">
        <f t="shared" si="23"/>
        <v>167.35924279217227</v>
      </c>
      <c r="AM129" s="286">
        <f t="shared" si="23"/>
        <v>279.35924279217232</v>
      </c>
      <c r="AN129" s="286">
        <f t="shared" si="23"/>
        <v>391.35924279217232</v>
      </c>
      <c r="AO129" s="286">
        <f t="shared" si="23"/>
        <v>503.35924279217221</v>
      </c>
      <c r="AP129" s="286">
        <f t="shared" si="23"/>
        <v>615.35924279217215</v>
      </c>
      <c r="AQ129" s="286">
        <f t="shared" si="23"/>
        <v>727.35924279217238</v>
      </c>
      <c r="AR129" s="286">
        <f t="shared" si="23"/>
        <v>839.35924279217238</v>
      </c>
    </row>
    <row r="130" spans="7:44" hidden="1" outlineLevel="2" x14ac:dyDescent="0.25">
      <c r="G130" s="288">
        <v>0.4</v>
      </c>
      <c r="H130" s="286">
        <f t="shared" si="20"/>
        <v>-263.84075720782766</v>
      </c>
      <c r="I130" s="286">
        <f t="shared" si="20"/>
        <v>-112.64075720782765</v>
      </c>
      <c r="J130" s="286">
        <f t="shared" si="20"/>
        <v>55.359242792172381</v>
      </c>
      <c r="K130" s="286">
        <f t="shared" si="20"/>
        <v>223.35924279217232</v>
      </c>
      <c r="L130" s="286">
        <f t="shared" si="20"/>
        <v>391.35924279217244</v>
      </c>
      <c r="M130" s="286">
        <f t="shared" si="20"/>
        <v>559.35924279217238</v>
      </c>
      <c r="N130" s="286">
        <f t="shared" si="20"/>
        <v>727.35924279217238</v>
      </c>
      <c r="O130" s="286">
        <f t="shared" si="20"/>
        <v>895.35924279217215</v>
      </c>
      <c r="P130" s="286">
        <f t="shared" si="20"/>
        <v>1063.3592427921726</v>
      </c>
      <c r="Q130" s="286">
        <f t="shared" si="20"/>
        <v>1231.3592427921726</v>
      </c>
      <c r="R130" s="286">
        <f t="shared" si="20"/>
        <v>1399.3592427921724</v>
      </c>
      <c r="T130" s="288">
        <v>0.4</v>
      </c>
      <c r="U130" s="286">
        <f t="shared" si="21"/>
        <v>-123.52037860391384</v>
      </c>
      <c r="V130" s="286">
        <f t="shared" si="21"/>
        <v>27.679621396086191</v>
      </c>
      <c r="W130" s="286">
        <f t="shared" si="21"/>
        <v>195.67962139608622</v>
      </c>
      <c r="X130" s="286">
        <f t="shared" si="21"/>
        <v>363.67962139608619</v>
      </c>
      <c r="Y130" s="286">
        <f t="shared" si="21"/>
        <v>531.6796213960863</v>
      </c>
      <c r="Z130" s="286">
        <f t="shared" si="21"/>
        <v>699.67962139608619</v>
      </c>
      <c r="AA130" s="286">
        <f t="shared" si="21"/>
        <v>867.67962139608619</v>
      </c>
      <c r="AB130" s="286">
        <f t="shared" si="21"/>
        <v>1035.6796213960858</v>
      </c>
      <c r="AC130" s="286">
        <f t="shared" si="21"/>
        <v>1203.6796213960863</v>
      </c>
      <c r="AD130" s="286">
        <f t="shared" si="21"/>
        <v>1371.6796213960863</v>
      </c>
      <c r="AE130" s="286">
        <f t="shared" si="21"/>
        <v>1539.6796213960861</v>
      </c>
      <c r="AG130" s="288">
        <v>0.4</v>
      </c>
      <c r="AH130" s="286">
        <f t="shared" si="23"/>
        <v>-267.84075720782766</v>
      </c>
      <c r="AI130" s="286">
        <f t="shared" si="23"/>
        <v>-152.64075720782765</v>
      </c>
      <c r="AJ130" s="286">
        <f t="shared" si="23"/>
        <v>-24.640757207827619</v>
      </c>
      <c r="AK130" s="286">
        <f t="shared" si="23"/>
        <v>103.35924279217232</v>
      </c>
      <c r="AL130" s="286">
        <f t="shared" si="23"/>
        <v>231.35924279217244</v>
      </c>
      <c r="AM130" s="286">
        <f t="shared" si="23"/>
        <v>359.35924279217232</v>
      </c>
      <c r="AN130" s="286">
        <f t="shared" si="23"/>
        <v>487.35924279217232</v>
      </c>
      <c r="AO130" s="286">
        <f t="shared" si="23"/>
        <v>615.35924279217215</v>
      </c>
      <c r="AP130" s="286">
        <f t="shared" si="23"/>
        <v>743.35924279217261</v>
      </c>
      <c r="AQ130" s="286">
        <f t="shared" si="23"/>
        <v>871.35924279217261</v>
      </c>
      <c r="AR130" s="286">
        <f t="shared" si="23"/>
        <v>999.35924279217238</v>
      </c>
    </row>
    <row r="131" spans="7:44" hidden="1" outlineLevel="2" x14ac:dyDescent="0.25">
      <c r="G131" s="288">
        <v>0.45</v>
      </c>
      <c r="H131" s="286">
        <f t="shared" si="20"/>
        <v>-261.7407572078277</v>
      </c>
      <c r="I131" s="286">
        <f t="shared" si="20"/>
        <v>-91.640757207827647</v>
      </c>
      <c r="J131" s="286">
        <f t="shared" si="20"/>
        <v>97.359242792172381</v>
      </c>
      <c r="K131" s="286">
        <f t="shared" si="20"/>
        <v>286.35924279217232</v>
      </c>
      <c r="L131" s="286">
        <f t="shared" si="20"/>
        <v>475.35924279217244</v>
      </c>
      <c r="M131" s="286">
        <f t="shared" si="20"/>
        <v>664.35924279217238</v>
      </c>
      <c r="N131" s="286">
        <f t="shared" si="20"/>
        <v>853.35924279217238</v>
      </c>
      <c r="O131" s="286">
        <f t="shared" si="20"/>
        <v>1042.3592427921724</v>
      </c>
      <c r="P131" s="286">
        <f t="shared" si="20"/>
        <v>1231.3592427921726</v>
      </c>
      <c r="Q131" s="286">
        <f t="shared" si="20"/>
        <v>1420.3592427921724</v>
      </c>
      <c r="R131" s="286">
        <f t="shared" si="20"/>
        <v>1609.3592427921724</v>
      </c>
      <c r="T131" s="288">
        <v>0.45</v>
      </c>
      <c r="U131" s="286">
        <f t="shared" si="21"/>
        <v>-121.42037860391383</v>
      </c>
      <c r="V131" s="286">
        <f t="shared" si="21"/>
        <v>48.679621396086191</v>
      </c>
      <c r="W131" s="286">
        <f t="shared" si="21"/>
        <v>237.67962139608622</v>
      </c>
      <c r="X131" s="286">
        <f t="shared" si="21"/>
        <v>426.67962139608619</v>
      </c>
      <c r="Y131" s="286">
        <f t="shared" si="21"/>
        <v>615.6796213960863</v>
      </c>
      <c r="Z131" s="286">
        <f t="shared" si="21"/>
        <v>804.67962139608619</v>
      </c>
      <c r="AA131" s="286">
        <f t="shared" si="21"/>
        <v>993.67962139608619</v>
      </c>
      <c r="AB131" s="286">
        <f t="shared" si="21"/>
        <v>1182.6796213960861</v>
      </c>
      <c r="AC131" s="286">
        <f t="shared" si="21"/>
        <v>1371.6796213960863</v>
      </c>
      <c r="AD131" s="286">
        <f t="shared" si="21"/>
        <v>1560.6796213960861</v>
      </c>
      <c r="AE131" s="286">
        <f t="shared" si="21"/>
        <v>1749.6796213960861</v>
      </c>
      <c r="AG131" s="288">
        <v>0.45</v>
      </c>
      <c r="AH131" s="286">
        <f t="shared" si="23"/>
        <v>-266.2407572078277</v>
      </c>
      <c r="AI131" s="286">
        <f t="shared" si="23"/>
        <v>-136.64075720782765</v>
      </c>
      <c r="AJ131" s="286">
        <f t="shared" si="23"/>
        <v>7.3592427921723811</v>
      </c>
      <c r="AK131" s="286">
        <f t="shared" si="23"/>
        <v>151.35924279217232</v>
      </c>
      <c r="AL131" s="286">
        <f t="shared" si="23"/>
        <v>295.35924279217244</v>
      </c>
      <c r="AM131" s="286">
        <f t="shared" si="23"/>
        <v>439.35924279217232</v>
      </c>
      <c r="AN131" s="286">
        <f t="shared" si="23"/>
        <v>583.35924279217238</v>
      </c>
      <c r="AO131" s="286">
        <f t="shared" si="23"/>
        <v>727.35924279217238</v>
      </c>
      <c r="AP131" s="286">
        <f t="shared" si="23"/>
        <v>871.35924279217261</v>
      </c>
      <c r="AQ131" s="286">
        <f t="shared" si="23"/>
        <v>1015.3592427921724</v>
      </c>
      <c r="AR131" s="286">
        <f t="shared" si="23"/>
        <v>1159.3592427921724</v>
      </c>
    </row>
    <row r="132" spans="7:44" collapsed="1" x14ac:dyDescent="0.25">
      <c r="G132" s="288">
        <v>0.5</v>
      </c>
      <c r="H132" s="286">
        <f t="shared" ref="H132:R142" si="24">(((H$120*$G132)*($C$21+$C$23))-($C$28-($C$28*$C$31)))</f>
        <v>-259.64075720782768</v>
      </c>
      <c r="I132" s="286">
        <f t="shared" si="24"/>
        <v>-70.640757207827676</v>
      </c>
      <c r="J132" s="286">
        <f t="shared" si="24"/>
        <v>139.35924279217232</v>
      </c>
      <c r="K132" s="286">
        <f t="shared" si="24"/>
        <v>349.35924279217232</v>
      </c>
      <c r="L132" s="286">
        <f t="shared" si="24"/>
        <v>559.35924279217238</v>
      </c>
      <c r="M132" s="286">
        <f t="shared" si="24"/>
        <v>769.35924279217238</v>
      </c>
      <c r="N132" s="286">
        <f t="shared" si="24"/>
        <v>979.35924279217238</v>
      </c>
      <c r="O132" s="286">
        <f t="shared" si="24"/>
        <v>1189.3592427921724</v>
      </c>
      <c r="P132" s="286">
        <f t="shared" si="24"/>
        <v>1399.3592427921724</v>
      </c>
      <c r="Q132" s="286">
        <f t="shared" si="24"/>
        <v>1609.3592427921724</v>
      </c>
      <c r="R132" s="286">
        <f t="shared" si="24"/>
        <v>1819.3592427921724</v>
      </c>
      <c r="T132" s="288">
        <v>0.5</v>
      </c>
      <c r="U132" s="286">
        <f t="shared" ref="U132:AE142" si="25">(((U$120*$T132)*($C$21+$C$23))-($C$28-($C$28*$C$32)))</f>
        <v>-119.32037860391384</v>
      </c>
      <c r="V132" s="286">
        <f t="shared" si="25"/>
        <v>69.679621396086162</v>
      </c>
      <c r="W132" s="286">
        <f t="shared" si="25"/>
        <v>279.67962139608619</v>
      </c>
      <c r="X132" s="286">
        <f t="shared" si="25"/>
        <v>489.67962139608619</v>
      </c>
      <c r="Y132" s="286">
        <f t="shared" si="25"/>
        <v>699.67962139608619</v>
      </c>
      <c r="Z132" s="286">
        <f t="shared" si="25"/>
        <v>909.67962139608619</v>
      </c>
      <c r="AA132" s="286">
        <f t="shared" si="25"/>
        <v>1119.6796213960861</v>
      </c>
      <c r="AB132" s="286">
        <f t="shared" si="25"/>
        <v>1329.6796213960861</v>
      </c>
      <c r="AC132" s="286">
        <f t="shared" si="25"/>
        <v>1539.6796213960861</v>
      </c>
      <c r="AD132" s="286">
        <f t="shared" si="25"/>
        <v>1749.6796213960861</v>
      </c>
      <c r="AE132" s="286">
        <f t="shared" si="25"/>
        <v>1959.6796213960861</v>
      </c>
      <c r="AG132" s="288">
        <v>0.5</v>
      </c>
      <c r="AH132" s="286">
        <f t="shared" si="23"/>
        <v>-264.64075720782768</v>
      </c>
      <c r="AI132" s="286">
        <f t="shared" si="23"/>
        <v>-120.64075720782768</v>
      </c>
      <c r="AJ132" s="286">
        <f t="shared" si="23"/>
        <v>39.359242792172324</v>
      </c>
      <c r="AK132" s="286">
        <f t="shared" si="23"/>
        <v>199.35924279217232</v>
      </c>
      <c r="AL132" s="286">
        <f t="shared" si="23"/>
        <v>359.35924279217232</v>
      </c>
      <c r="AM132" s="286">
        <f t="shared" si="23"/>
        <v>519.35924279217238</v>
      </c>
      <c r="AN132" s="286">
        <f t="shared" si="23"/>
        <v>679.35924279217238</v>
      </c>
      <c r="AO132" s="286">
        <f t="shared" si="23"/>
        <v>839.35924279217238</v>
      </c>
      <c r="AP132" s="286">
        <f t="shared" si="23"/>
        <v>999.35924279217238</v>
      </c>
      <c r="AQ132" s="286">
        <f t="shared" si="23"/>
        <v>1159.3592427921724</v>
      </c>
      <c r="AR132" s="286">
        <f t="shared" si="23"/>
        <v>1319.3592427921724</v>
      </c>
    </row>
    <row r="133" spans="7:44" x14ac:dyDescent="0.25">
      <c r="G133" s="288">
        <v>0.55000000000000004</v>
      </c>
      <c r="H133" s="286">
        <f t="shared" si="24"/>
        <v>-257.54075720782765</v>
      </c>
      <c r="I133" s="286">
        <f t="shared" si="24"/>
        <v>-49.640757207827647</v>
      </c>
      <c r="J133" s="286">
        <f t="shared" si="24"/>
        <v>181.35924279217238</v>
      </c>
      <c r="K133" s="286">
        <f t="shared" si="24"/>
        <v>412.35924279217232</v>
      </c>
      <c r="L133" s="286">
        <f t="shared" si="24"/>
        <v>643.35924279217238</v>
      </c>
      <c r="M133" s="286">
        <f t="shared" si="24"/>
        <v>874.35924279217238</v>
      </c>
      <c r="N133" s="286">
        <f t="shared" si="24"/>
        <v>1105.3592427921724</v>
      </c>
      <c r="O133" s="286">
        <f t="shared" si="24"/>
        <v>1336.3592427921724</v>
      </c>
      <c r="P133" s="286">
        <f t="shared" si="24"/>
        <v>1567.3592427921726</v>
      </c>
      <c r="Q133" s="286">
        <f t="shared" si="24"/>
        <v>1798.3592427921724</v>
      </c>
      <c r="R133" s="286">
        <f t="shared" si="24"/>
        <v>2029.3592427921724</v>
      </c>
      <c r="T133" s="288">
        <v>0.55000000000000004</v>
      </c>
      <c r="U133" s="286">
        <f t="shared" si="25"/>
        <v>-117.22037860391384</v>
      </c>
      <c r="V133" s="286">
        <f t="shared" si="25"/>
        <v>90.679621396086191</v>
      </c>
      <c r="W133" s="286">
        <f t="shared" si="25"/>
        <v>321.67962139608619</v>
      </c>
      <c r="X133" s="286">
        <f t="shared" si="25"/>
        <v>552.67962139608619</v>
      </c>
      <c r="Y133" s="286">
        <f t="shared" si="25"/>
        <v>783.6796213960863</v>
      </c>
      <c r="Z133" s="286">
        <f t="shared" si="25"/>
        <v>1014.6796213960862</v>
      </c>
      <c r="AA133" s="286">
        <f t="shared" si="25"/>
        <v>1245.6796213960861</v>
      </c>
      <c r="AB133" s="286">
        <f t="shared" si="25"/>
        <v>1476.6796213960861</v>
      </c>
      <c r="AC133" s="286">
        <f t="shared" si="25"/>
        <v>1707.6796213960863</v>
      </c>
      <c r="AD133" s="286">
        <f t="shared" si="25"/>
        <v>1938.6796213960861</v>
      </c>
      <c r="AE133" s="286">
        <f t="shared" si="25"/>
        <v>2169.6796213960861</v>
      </c>
      <c r="AG133" s="288">
        <v>0.55000000000000004</v>
      </c>
      <c r="AH133" s="286">
        <f t="shared" si="23"/>
        <v>-263.04075720782765</v>
      </c>
      <c r="AI133" s="286">
        <f t="shared" si="23"/>
        <v>-104.64075720782765</v>
      </c>
      <c r="AJ133" s="286">
        <f t="shared" si="23"/>
        <v>71.359242792172381</v>
      </c>
      <c r="AK133" s="286">
        <f t="shared" si="23"/>
        <v>247.35924279217232</v>
      </c>
      <c r="AL133" s="286">
        <f t="shared" si="23"/>
        <v>423.35924279217244</v>
      </c>
      <c r="AM133" s="286">
        <f t="shared" si="23"/>
        <v>599.35924279217238</v>
      </c>
      <c r="AN133" s="286">
        <f t="shared" si="23"/>
        <v>775.35924279217238</v>
      </c>
      <c r="AO133" s="286">
        <f t="shared" si="23"/>
        <v>951.35924279217238</v>
      </c>
      <c r="AP133" s="286">
        <f t="shared" si="23"/>
        <v>1127.3592427921726</v>
      </c>
      <c r="AQ133" s="286">
        <f t="shared" si="23"/>
        <v>1303.3592427921726</v>
      </c>
      <c r="AR133" s="286">
        <f t="shared" si="23"/>
        <v>1479.3592427921726</v>
      </c>
    </row>
    <row r="134" spans="7:44" x14ac:dyDescent="0.25">
      <c r="G134" s="288">
        <v>0.6</v>
      </c>
      <c r="H134" s="286">
        <f t="shared" si="24"/>
        <v>-255.44075720782769</v>
      </c>
      <c r="I134" s="286">
        <f t="shared" si="24"/>
        <v>-28.640757207827676</v>
      </c>
      <c r="J134" s="286">
        <f t="shared" si="24"/>
        <v>223.35924279217232</v>
      </c>
      <c r="K134" s="286">
        <f t="shared" si="24"/>
        <v>475.35924279217232</v>
      </c>
      <c r="L134" s="286">
        <f t="shared" si="24"/>
        <v>727.35924279217238</v>
      </c>
      <c r="M134" s="286">
        <f t="shared" si="24"/>
        <v>979.35924279217238</v>
      </c>
      <c r="N134" s="286">
        <f t="shared" si="24"/>
        <v>1231.3592427921724</v>
      </c>
      <c r="O134" s="286">
        <f t="shared" si="24"/>
        <v>1483.3592427921724</v>
      </c>
      <c r="P134" s="286">
        <f t="shared" si="24"/>
        <v>1735.3592427921724</v>
      </c>
      <c r="Q134" s="286">
        <f t="shared" si="24"/>
        <v>1987.3592427921724</v>
      </c>
      <c r="R134" s="286">
        <f t="shared" si="24"/>
        <v>2239.3592427921722</v>
      </c>
      <c r="T134" s="288">
        <v>0.6</v>
      </c>
      <c r="U134" s="286">
        <f t="shared" si="25"/>
        <v>-115.12037860391384</v>
      </c>
      <c r="V134" s="286">
        <f t="shared" si="25"/>
        <v>111.67962139608616</v>
      </c>
      <c r="W134" s="286">
        <f t="shared" si="25"/>
        <v>363.67962139608619</v>
      </c>
      <c r="X134" s="286">
        <f t="shared" si="25"/>
        <v>615.67962139608619</v>
      </c>
      <c r="Y134" s="286">
        <f t="shared" si="25"/>
        <v>867.67962139608619</v>
      </c>
      <c r="Z134" s="286">
        <f t="shared" si="25"/>
        <v>1119.6796213960861</v>
      </c>
      <c r="AA134" s="286">
        <f t="shared" si="25"/>
        <v>1371.6796213960861</v>
      </c>
      <c r="AB134" s="286">
        <f t="shared" si="25"/>
        <v>1623.6796213960861</v>
      </c>
      <c r="AC134" s="286">
        <f t="shared" si="25"/>
        <v>1875.6796213960861</v>
      </c>
      <c r="AD134" s="286">
        <f t="shared" si="25"/>
        <v>2127.6796213960861</v>
      </c>
      <c r="AE134" s="286">
        <f t="shared" si="25"/>
        <v>2379.6796213960861</v>
      </c>
      <c r="AG134" s="288">
        <v>0.6</v>
      </c>
      <c r="AH134" s="286">
        <f t="shared" si="23"/>
        <v>-261.44075720782769</v>
      </c>
      <c r="AI134" s="286">
        <f t="shared" si="23"/>
        <v>-88.640757207827676</v>
      </c>
      <c r="AJ134" s="286">
        <f t="shared" si="23"/>
        <v>103.35924279217232</v>
      </c>
      <c r="AK134" s="286">
        <f t="shared" si="23"/>
        <v>295.35924279217232</v>
      </c>
      <c r="AL134" s="286">
        <f t="shared" si="23"/>
        <v>487.35924279217232</v>
      </c>
      <c r="AM134" s="286">
        <f t="shared" si="23"/>
        <v>679.35924279217238</v>
      </c>
      <c r="AN134" s="286">
        <f t="shared" si="23"/>
        <v>871.35924279217238</v>
      </c>
      <c r="AO134" s="286">
        <f t="shared" si="23"/>
        <v>1063.3592427921724</v>
      </c>
      <c r="AP134" s="286">
        <f t="shared" si="23"/>
        <v>1255.3592427921724</v>
      </c>
      <c r="AQ134" s="286">
        <f t="shared" si="23"/>
        <v>1447.3592427921724</v>
      </c>
      <c r="AR134" s="286">
        <f t="shared" si="23"/>
        <v>1639.3592427921724</v>
      </c>
    </row>
    <row r="135" spans="7:44" x14ac:dyDescent="0.25">
      <c r="G135" s="288">
        <v>0.65</v>
      </c>
      <c r="H135" s="286">
        <f t="shared" si="24"/>
        <v>-253.34075720782766</v>
      </c>
      <c r="I135" s="286">
        <f t="shared" si="24"/>
        <v>-7.6407572078276758</v>
      </c>
      <c r="J135" s="286">
        <f t="shared" si="24"/>
        <v>265.35924279217232</v>
      </c>
      <c r="K135" s="286">
        <f t="shared" si="24"/>
        <v>538.35924279217238</v>
      </c>
      <c r="L135" s="286">
        <f t="shared" si="24"/>
        <v>811.35924279217238</v>
      </c>
      <c r="M135" s="286">
        <f t="shared" si="24"/>
        <v>1084.3592427921724</v>
      </c>
      <c r="N135" s="286">
        <f t="shared" si="24"/>
        <v>1357.3592427921724</v>
      </c>
      <c r="O135" s="286">
        <f t="shared" si="24"/>
        <v>1630.3592427921722</v>
      </c>
      <c r="P135" s="286">
        <f t="shared" si="24"/>
        <v>1903.3592427921724</v>
      </c>
      <c r="Q135" s="286">
        <f t="shared" si="24"/>
        <v>2176.3592427921726</v>
      </c>
      <c r="R135" s="286">
        <f t="shared" si="24"/>
        <v>2449.3592427921722</v>
      </c>
      <c r="T135" s="288">
        <v>0.65</v>
      </c>
      <c r="U135" s="286">
        <f t="shared" si="25"/>
        <v>-113.02037860391384</v>
      </c>
      <c r="V135" s="286">
        <f t="shared" si="25"/>
        <v>132.67962139608616</v>
      </c>
      <c r="W135" s="286">
        <f t="shared" si="25"/>
        <v>405.67962139608619</v>
      </c>
      <c r="X135" s="286">
        <f t="shared" si="25"/>
        <v>678.67962139608619</v>
      </c>
      <c r="Y135" s="286">
        <f t="shared" si="25"/>
        <v>951.67962139608619</v>
      </c>
      <c r="Z135" s="286">
        <f t="shared" si="25"/>
        <v>1224.6796213960861</v>
      </c>
      <c r="AA135" s="286">
        <f t="shared" si="25"/>
        <v>1497.6796213960861</v>
      </c>
      <c r="AB135" s="286">
        <f t="shared" si="25"/>
        <v>1770.6796213960858</v>
      </c>
      <c r="AC135" s="286">
        <f t="shared" si="25"/>
        <v>2043.6796213960861</v>
      </c>
      <c r="AD135" s="286">
        <f t="shared" si="25"/>
        <v>2316.6796213960865</v>
      </c>
      <c r="AE135" s="286">
        <f t="shared" si="25"/>
        <v>2589.6796213960861</v>
      </c>
      <c r="AG135" s="288">
        <v>0.65</v>
      </c>
      <c r="AH135" s="286">
        <f t="shared" si="23"/>
        <v>-259.84075720782766</v>
      </c>
      <c r="AI135" s="286">
        <f t="shared" si="23"/>
        <v>-72.640757207827676</v>
      </c>
      <c r="AJ135" s="286">
        <f t="shared" si="23"/>
        <v>135.35924279217232</v>
      </c>
      <c r="AK135" s="286">
        <f t="shared" si="23"/>
        <v>343.35924279217232</v>
      </c>
      <c r="AL135" s="286">
        <f t="shared" si="23"/>
        <v>551.35924279217238</v>
      </c>
      <c r="AM135" s="286">
        <f t="shared" si="23"/>
        <v>759.35924279217238</v>
      </c>
      <c r="AN135" s="286">
        <f t="shared" si="23"/>
        <v>967.35924279217238</v>
      </c>
      <c r="AO135" s="286">
        <f t="shared" si="23"/>
        <v>1175.3592427921722</v>
      </c>
      <c r="AP135" s="286">
        <f t="shared" si="23"/>
        <v>1383.3592427921724</v>
      </c>
      <c r="AQ135" s="286">
        <f t="shared" si="23"/>
        <v>1591.3592427921726</v>
      </c>
      <c r="AR135" s="286">
        <f t="shared" si="23"/>
        <v>1799.3592427921724</v>
      </c>
    </row>
    <row r="136" spans="7:44" x14ac:dyDescent="0.25">
      <c r="G136" s="288">
        <v>0.7</v>
      </c>
      <c r="H136" s="286">
        <f t="shared" si="24"/>
        <v>-251.24075720782767</v>
      </c>
      <c r="I136" s="286">
        <f t="shared" si="24"/>
        <v>13.359242792172267</v>
      </c>
      <c r="J136" s="286">
        <f t="shared" si="24"/>
        <v>307.35924279217221</v>
      </c>
      <c r="K136" s="286">
        <f t="shared" si="24"/>
        <v>601.35924279217238</v>
      </c>
      <c r="L136" s="286">
        <f t="shared" si="24"/>
        <v>895.35924279217215</v>
      </c>
      <c r="M136" s="286">
        <f t="shared" si="24"/>
        <v>1189.3592427921724</v>
      </c>
      <c r="N136" s="286">
        <f t="shared" si="24"/>
        <v>1483.3592427921724</v>
      </c>
      <c r="O136" s="286">
        <f t="shared" si="24"/>
        <v>1777.3592427921719</v>
      </c>
      <c r="P136" s="286">
        <f t="shared" si="24"/>
        <v>2071.3592427921717</v>
      </c>
      <c r="Q136" s="286">
        <f t="shared" si="24"/>
        <v>2365.3592427921722</v>
      </c>
      <c r="R136" s="286">
        <f t="shared" si="24"/>
        <v>2659.3592427921722</v>
      </c>
      <c r="T136" s="288">
        <v>0.7</v>
      </c>
      <c r="U136" s="286">
        <f t="shared" si="25"/>
        <v>-110.92037860391383</v>
      </c>
      <c r="V136" s="286">
        <f t="shared" si="25"/>
        <v>153.67962139608611</v>
      </c>
      <c r="W136" s="286">
        <f t="shared" si="25"/>
        <v>447.67962139608608</v>
      </c>
      <c r="X136" s="286">
        <f t="shared" si="25"/>
        <v>741.67962139608619</v>
      </c>
      <c r="Y136" s="286">
        <f t="shared" si="25"/>
        <v>1035.6796213960858</v>
      </c>
      <c r="Z136" s="286">
        <f t="shared" si="25"/>
        <v>1329.6796213960861</v>
      </c>
      <c r="AA136" s="286">
        <f t="shared" si="25"/>
        <v>1623.6796213960861</v>
      </c>
      <c r="AB136" s="286">
        <f t="shared" si="25"/>
        <v>1917.6796213960856</v>
      </c>
      <c r="AC136" s="286">
        <f t="shared" si="25"/>
        <v>2211.6796213960856</v>
      </c>
      <c r="AD136" s="286">
        <f t="shared" si="25"/>
        <v>2505.6796213960861</v>
      </c>
      <c r="AE136" s="286">
        <f t="shared" si="25"/>
        <v>2799.6796213960861</v>
      </c>
      <c r="AG136" s="288">
        <v>0.7</v>
      </c>
      <c r="AH136" s="286">
        <f t="shared" si="23"/>
        <v>-258.2407572078277</v>
      </c>
      <c r="AI136" s="286">
        <f t="shared" si="23"/>
        <v>-56.640757207827704</v>
      </c>
      <c r="AJ136" s="286">
        <f t="shared" si="23"/>
        <v>167.35924279217227</v>
      </c>
      <c r="AK136" s="286">
        <f t="shared" si="23"/>
        <v>391.35924279217232</v>
      </c>
      <c r="AL136" s="286">
        <f t="shared" si="23"/>
        <v>615.35924279217215</v>
      </c>
      <c r="AM136" s="286">
        <f t="shared" si="23"/>
        <v>839.35924279217238</v>
      </c>
      <c r="AN136" s="286">
        <f t="shared" si="23"/>
        <v>1063.3592427921724</v>
      </c>
      <c r="AO136" s="286">
        <f t="shared" si="23"/>
        <v>1287.3592427921722</v>
      </c>
      <c r="AP136" s="286">
        <f t="shared" si="23"/>
        <v>1511.3592427921722</v>
      </c>
      <c r="AQ136" s="286">
        <f t="shared" si="23"/>
        <v>1735.3592427921724</v>
      </c>
      <c r="AR136" s="286">
        <f t="shared" si="23"/>
        <v>1959.3592427921724</v>
      </c>
    </row>
    <row r="137" spans="7:44" x14ac:dyDescent="0.25">
      <c r="G137" s="288">
        <v>0.75</v>
      </c>
      <c r="H137" s="286">
        <f t="shared" si="24"/>
        <v>-249.14075720782768</v>
      </c>
      <c r="I137" s="286">
        <f t="shared" si="24"/>
        <v>34.359242792172381</v>
      </c>
      <c r="J137" s="286">
        <f t="shared" si="24"/>
        <v>349.35924279217244</v>
      </c>
      <c r="K137" s="286">
        <f t="shared" si="24"/>
        <v>664.35924279217215</v>
      </c>
      <c r="L137" s="286">
        <f t="shared" si="24"/>
        <v>979.35924279217261</v>
      </c>
      <c r="M137" s="286">
        <f t="shared" si="24"/>
        <v>1294.3592427921724</v>
      </c>
      <c r="N137" s="286">
        <f t="shared" si="24"/>
        <v>1609.3592427921722</v>
      </c>
      <c r="O137" s="286">
        <f t="shared" si="24"/>
        <v>1924.3592427921719</v>
      </c>
      <c r="P137" s="286">
        <f t="shared" si="24"/>
        <v>2239.3592427921726</v>
      </c>
      <c r="Q137" s="286">
        <f t="shared" si="24"/>
        <v>2554.3592427921722</v>
      </c>
      <c r="R137" s="286">
        <f t="shared" si="24"/>
        <v>2869.3592427921722</v>
      </c>
      <c r="T137" s="288">
        <v>0.75</v>
      </c>
      <c r="U137" s="286">
        <f t="shared" si="25"/>
        <v>-108.82037860391384</v>
      </c>
      <c r="V137" s="286">
        <f t="shared" si="25"/>
        <v>174.67962139608622</v>
      </c>
      <c r="W137" s="286">
        <f t="shared" si="25"/>
        <v>489.6796213960863</v>
      </c>
      <c r="X137" s="286">
        <f t="shared" si="25"/>
        <v>804.67962139608608</v>
      </c>
      <c r="Y137" s="286">
        <f t="shared" si="25"/>
        <v>1119.6796213960863</v>
      </c>
      <c r="Z137" s="286">
        <f t="shared" si="25"/>
        <v>1434.6796213960861</v>
      </c>
      <c r="AA137" s="286">
        <f t="shared" si="25"/>
        <v>1749.6796213960858</v>
      </c>
      <c r="AB137" s="286">
        <f t="shared" si="25"/>
        <v>2064.6796213960856</v>
      </c>
      <c r="AC137" s="286">
        <f t="shared" si="25"/>
        <v>2379.6796213960865</v>
      </c>
      <c r="AD137" s="286">
        <f t="shared" si="25"/>
        <v>2694.6796213960861</v>
      </c>
      <c r="AE137" s="286">
        <f t="shared" si="25"/>
        <v>3009.6796213960861</v>
      </c>
      <c r="AG137" s="288">
        <v>0.75</v>
      </c>
      <c r="AH137" s="286">
        <f t="shared" si="23"/>
        <v>-256.64075720782768</v>
      </c>
      <c r="AI137" s="286">
        <f t="shared" si="23"/>
        <v>-40.640757207827647</v>
      </c>
      <c r="AJ137" s="286">
        <f t="shared" si="23"/>
        <v>199.35924279217238</v>
      </c>
      <c r="AK137" s="286">
        <f t="shared" si="23"/>
        <v>439.35924279217221</v>
      </c>
      <c r="AL137" s="286">
        <f t="shared" si="23"/>
        <v>679.35924279217238</v>
      </c>
      <c r="AM137" s="286">
        <f t="shared" si="23"/>
        <v>919.35924279217238</v>
      </c>
      <c r="AN137" s="286">
        <f t="shared" si="23"/>
        <v>1159.3592427921722</v>
      </c>
      <c r="AO137" s="286">
        <f t="shared" si="23"/>
        <v>1399.3592427921722</v>
      </c>
      <c r="AP137" s="286">
        <f t="shared" si="23"/>
        <v>1639.3592427921726</v>
      </c>
      <c r="AQ137" s="286">
        <f t="shared" si="23"/>
        <v>1879.3592427921724</v>
      </c>
      <c r="AR137" s="286">
        <f t="shared" si="23"/>
        <v>2119.3592427921722</v>
      </c>
    </row>
    <row r="138" spans="7:44" x14ac:dyDescent="0.25">
      <c r="G138" s="288">
        <v>0.8</v>
      </c>
      <c r="H138" s="286">
        <f t="shared" si="24"/>
        <v>-247.04075720782768</v>
      </c>
      <c r="I138" s="286">
        <f t="shared" si="24"/>
        <v>55.359242792172381</v>
      </c>
      <c r="J138" s="286">
        <f t="shared" si="24"/>
        <v>391.35924279217244</v>
      </c>
      <c r="K138" s="286">
        <f t="shared" si="24"/>
        <v>727.35924279217238</v>
      </c>
      <c r="L138" s="286">
        <f t="shared" si="24"/>
        <v>1063.3592427921726</v>
      </c>
      <c r="M138" s="286">
        <f t="shared" si="24"/>
        <v>1399.3592427921724</v>
      </c>
      <c r="N138" s="286">
        <f t="shared" si="24"/>
        <v>1735.3592427921724</v>
      </c>
      <c r="O138" s="286">
        <f t="shared" si="24"/>
        <v>2071.3592427921717</v>
      </c>
      <c r="P138" s="286">
        <f t="shared" si="24"/>
        <v>2407.3592427921726</v>
      </c>
      <c r="Q138" s="286">
        <f t="shared" si="24"/>
        <v>2743.3592427921726</v>
      </c>
      <c r="R138" s="286">
        <f t="shared" si="24"/>
        <v>3079.3592427921722</v>
      </c>
      <c r="T138" s="288">
        <v>0.8</v>
      </c>
      <c r="U138" s="286">
        <f t="shared" si="25"/>
        <v>-106.72037860391384</v>
      </c>
      <c r="V138" s="286">
        <f t="shared" si="25"/>
        <v>195.67962139608622</v>
      </c>
      <c r="W138" s="286">
        <f t="shared" si="25"/>
        <v>531.6796213960863</v>
      </c>
      <c r="X138" s="286">
        <f t="shared" si="25"/>
        <v>867.67962139608619</v>
      </c>
      <c r="Y138" s="286">
        <f t="shared" si="25"/>
        <v>1203.6796213960863</v>
      </c>
      <c r="Z138" s="286">
        <f t="shared" si="25"/>
        <v>1539.6796213960861</v>
      </c>
      <c r="AA138" s="286">
        <f t="shared" si="25"/>
        <v>1875.6796213960861</v>
      </c>
      <c r="AB138" s="286">
        <f t="shared" si="25"/>
        <v>2211.6796213960856</v>
      </c>
      <c r="AC138" s="286">
        <f t="shared" si="25"/>
        <v>2547.6796213960865</v>
      </c>
      <c r="AD138" s="286">
        <f t="shared" si="25"/>
        <v>2883.6796213960865</v>
      </c>
      <c r="AE138" s="286">
        <f t="shared" si="25"/>
        <v>3219.6796213960861</v>
      </c>
      <c r="AG138" s="288">
        <v>0.8</v>
      </c>
      <c r="AH138" s="286">
        <f t="shared" si="23"/>
        <v>-255.04075720782768</v>
      </c>
      <c r="AI138" s="286">
        <f t="shared" si="23"/>
        <v>-24.640757207827619</v>
      </c>
      <c r="AJ138" s="286">
        <f t="shared" si="23"/>
        <v>231.35924279217244</v>
      </c>
      <c r="AK138" s="286">
        <f t="shared" si="23"/>
        <v>487.35924279217232</v>
      </c>
      <c r="AL138" s="286">
        <f t="shared" si="23"/>
        <v>743.35924279217261</v>
      </c>
      <c r="AM138" s="286">
        <f t="shared" si="23"/>
        <v>999.35924279217238</v>
      </c>
      <c r="AN138" s="286">
        <f t="shared" si="23"/>
        <v>1255.3592427921724</v>
      </c>
      <c r="AO138" s="286">
        <f t="shared" si="23"/>
        <v>1511.3592427921722</v>
      </c>
      <c r="AP138" s="286">
        <f t="shared" si="23"/>
        <v>1767.3592427921728</v>
      </c>
      <c r="AQ138" s="286">
        <f t="shared" si="23"/>
        <v>2023.3592427921728</v>
      </c>
      <c r="AR138" s="286">
        <f t="shared" si="23"/>
        <v>2279.3592427921722</v>
      </c>
    </row>
    <row r="139" spans="7:44" x14ac:dyDescent="0.25">
      <c r="G139" s="288">
        <v>0.85</v>
      </c>
      <c r="H139" s="286">
        <f t="shared" si="24"/>
        <v>-244.94075720782769</v>
      </c>
      <c r="I139" s="286">
        <f t="shared" si="24"/>
        <v>76.359242792172324</v>
      </c>
      <c r="J139" s="286">
        <f t="shared" si="24"/>
        <v>433.35924279217232</v>
      </c>
      <c r="K139" s="286">
        <f t="shared" si="24"/>
        <v>790.35924279217238</v>
      </c>
      <c r="L139" s="286">
        <f t="shared" si="24"/>
        <v>1147.3592427921724</v>
      </c>
      <c r="M139" s="286">
        <f t="shared" si="24"/>
        <v>1504.3592427921724</v>
      </c>
      <c r="N139" s="286">
        <f t="shared" si="24"/>
        <v>1861.3592427921724</v>
      </c>
      <c r="O139" s="286">
        <f t="shared" si="24"/>
        <v>2218.3592427921722</v>
      </c>
      <c r="P139" s="286">
        <f t="shared" si="24"/>
        <v>2575.3592427921722</v>
      </c>
      <c r="Q139" s="286">
        <f t="shared" si="24"/>
        <v>2932.3592427921722</v>
      </c>
      <c r="R139" s="286">
        <f t="shared" si="24"/>
        <v>3289.3592427921722</v>
      </c>
      <c r="T139" s="288">
        <v>0.85</v>
      </c>
      <c r="U139" s="286">
        <f t="shared" si="25"/>
        <v>-104.62037860391384</v>
      </c>
      <c r="V139" s="286">
        <f t="shared" si="25"/>
        <v>216.67962139608616</v>
      </c>
      <c r="W139" s="286">
        <f t="shared" si="25"/>
        <v>573.67962139608619</v>
      </c>
      <c r="X139" s="286">
        <f t="shared" si="25"/>
        <v>930.67962139608619</v>
      </c>
      <c r="Y139" s="286">
        <f t="shared" si="25"/>
        <v>1287.6796213960861</v>
      </c>
      <c r="Z139" s="286">
        <f t="shared" si="25"/>
        <v>1644.6796213960861</v>
      </c>
      <c r="AA139" s="286">
        <f t="shared" si="25"/>
        <v>2001.6796213960861</v>
      </c>
      <c r="AB139" s="286">
        <f t="shared" si="25"/>
        <v>2358.6796213960861</v>
      </c>
      <c r="AC139" s="286">
        <f t="shared" si="25"/>
        <v>2715.6796213960861</v>
      </c>
      <c r="AD139" s="286">
        <f t="shared" si="25"/>
        <v>3072.6796213960861</v>
      </c>
      <c r="AE139" s="286">
        <f t="shared" si="25"/>
        <v>3429.6796213960861</v>
      </c>
      <c r="AG139" s="288">
        <v>0.85</v>
      </c>
      <c r="AH139" s="286">
        <f t="shared" si="23"/>
        <v>-253.44075720782769</v>
      </c>
      <c r="AI139" s="286">
        <f t="shared" si="23"/>
        <v>-8.6407572078276758</v>
      </c>
      <c r="AJ139" s="286">
        <f t="shared" si="23"/>
        <v>263.35924279217232</v>
      </c>
      <c r="AK139" s="286">
        <f t="shared" si="23"/>
        <v>535.35924279217238</v>
      </c>
      <c r="AL139" s="286">
        <f t="shared" si="23"/>
        <v>807.35924279217238</v>
      </c>
      <c r="AM139" s="286">
        <f t="shared" si="23"/>
        <v>1079.3592427921724</v>
      </c>
      <c r="AN139" s="286">
        <f t="shared" si="23"/>
        <v>1351.3592427921724</v>
      </c>
      <c r="AO139" s="286">
        <f t="shared" si="23"/>
        <v>1623.3592427921724</v>
      </c>
      <c r="AP139" s="286">
        <f t="shared" si="23"/>
        <v>1895.3592427921724</v>
      </c>
      <c r="AQ139" s="286">
        <f t="shared" si="23"/>
        <v>2167.3592427921722</v>
      </c>
      <c r="AR139" s="286">
        <f t="shared" si="23"/>
        <v>2439.3592427921722</v>
      </c>
    </row>
    <row r="140" spans="7:44" x14ac:dyDescent="0.25">
      <c r="G140" s="288">
        <v>0.9</v>
      </c>
      <c r="H140" s="286">
        <f t="shared" si="24"/>
        <v>-242.84075720782766</v>
      </c>
      <c r="I140" s="286">
        <f t="shared" si="24"/>
        <v>97.359242792172381</v>
      </c>
      <c r="J140" s="286">
        <f t="shared" si="24"/>
        <v>475.35924279217244</v>
      </c>
      <c r="K140" s="286">
        <f t="shared" si="24"/>
        <v>853.35924279217238</v>
      </c>
      <c r="L140" s="286">
        <f t="shared" si="24"/>
        <v>1231.3592427921726</v>
      </c>
      <c r="M140" s="286">
        <f t="shared" si="24"/>
        <v>1609.3592427921724</v>
      </c>
      <c r="N140" s="286">
        <f t="shared" si="24"/>
        <v>1987.3592427921724</v>
      </c>
      <c r="O140" s="286">
        <f t="shared" si="24"/>
        <v>2365.3592427921722</v>
      </c>
      <c r="P140" s="286">
        <f t="shared" si="24"/>
        <v>2743.3592427921726</v>
      </c>
      <c r="Q140" s="286">
        <f t="shared" si="24"/>
        <v>3121.3592427921722</v>
      </c>
      <c r="R140" s="286">
        <f t="shared" si="24"/>
        <v>3499.3592427921722</v>
      </c>
      <c r="T140" s="288">
        <v>0.9</v>
      </c>
      <c r="U140" s="286">
        <f t="shared" si="25"/>
        <v>-102.52037860391383</v>
      </c>
      <c r="V140" s="286">
        <f t="shared" si="25"/>
        <v>237.67962139608622</v>
      </c>
      <c r="W140" s="286">
        <f t="shared" si="25"/>
        <v>615.6796213960863</v>
      </c>
      <c r="X140" s="286">
        <f t="shared" si="25"/>
        <v>993.67962139608619</v>
      </c>
      <c r="Y140" s="286">
        <f t="shared" si="25"/>
        <v>1371.6796213960863</v>
      </c>
      <c r="Z140" s="286">
        <f t="shared" si="25"/>
        <v>1749.6796213960861</v>
      </c>
      <c r="AA140" s="286">
        <f t="shared" si="25"/>
        <v>2127.6796213960861</v>
      </c>
      <c r="AB140" s="286">
        <f t="shared" si="25"/>
        <v>2505.6796213960861</v>
      </c>
      <c r="AC140" s="286">
        <f t="shared" si="25"/>
        <v>2883.6796213960865</v>
      </c>
      <c r="AD140" s="286">
        <f t="shared" si="25"/>
        <v>3261.6796213960861</v>
      </c>
      <c r="AE140" s="286">
        <f t="shared" si="25"/>
        <v>3639.6796213960861</v>
      </c>
      <c r="AG140" s="288">
        <v>0.9</v>
      </c>
      <c r="AH140" s="286">
        <f t="shared" si="23"/>
        <v>-251.84075720782766</v>
      </c>
      <c r="AI140" s="286">
        <f t="shared" si="23"/>
        <v>7.3592427921723811</v>
      </c>
      <c r="AJ140" s="286">
        <f t="shared" si="23"/>
        <v>295.35924279217244</v>
      </c>
      <c r="AK140" s="286">
        <f t="shared" si="23"/>
        <v>583.35924279217238</v>
      </c>
      <c r="AL140" s="286">
        <f t="shared" si="23"/>
        <v>871.35924279217261</v>
      </c>
      <c r="AM140" s="286">
        <f t="shared" si="23"/>
        <v>1159.3592427921724</v>
      </c>
      <c r="AN140" s="286">
        <f t="shared" si="23"/>
        <v>1447.3592427921724</v>
      </c>
      <c r="AO140" s="286">
        <f t="shared" si="23"/>
        <v>1735.3592427921724</v>
      </c>
      <c r="AP140" s="286">
        <f t="shared" si="23"/>
        <v>2023.3592427921728</v>
      </c>
      <c r="AQ140" s="286">
        <f t="shared" si="23"/>
        <v>2311.3592427921722</v>
      </c>
      <c r="AR140" s="286">
        <f t="shared" si="23"/>
        <v>2599.3592427921722</v>
      </c>
    </row>
    <row r="141" spans="7:44" x14ac:dyDescent="0.25">
      <c r="G141" s="288">
        <v>0.95</v>
      </c>
      <c r="H141" s="286">
        <f t="shared" si="24"/>
        <v>-240.74075720782767</v>
      </c>
      <c r="I141" s="286">
        <f t="shared" si="24"/>
        <v>118.35924279217232</v>
      </c>
      <c r="J141" s="286">
        <f t="shared" si="24"/>
        <v>517.35924279217238</v>
      </c>
      <c r="K141" s="286">
        <f t="shared" si="24"/>
        <v>916.35924279217238</v>
      </c>
      <c r="L141" s="286">
        <f t="shared" si="24"/>
        <v>1315.3592427921724</v>
      </c>
      <c r="M141" s="286">
        <f t="shared" si="24"/>
        <v>1714.3592427921724</v>
      </c>
      <c r="N141" s="286">
        <f t="shared" si="24"/>
        <v>2113.3592427921722</v>
      </c>
      <c r="O141" s="286">
        <f t="shared" si="24"/>
        <v>2512.3592427921717</v>
      </c>
      <c r="P141" s="286">
        <f t="shared" si="24"/>
        <v>2911.3592427921722</v>
      </c>
      <c r="Q141" s="286">
        <f t="shared" si="24"/>
        <v>3310.3592427921722</v>
      </c>
      <c r="R141" s="286">
        <f t="shared" si="24"/>
        <v>3709.3592427921722</v>
      </c>
      <c r="T141" s="288">
        <v>0.95</v>
      </c>
      <c r="U141" s="286">
        <f t="shared" si="25"/>
        <v>-100.42037860391383</v>
      </c>
      <c r="V141" s="286">
        <f t="shared" si="25"/>
        <v>258.67962139608619</v>
      </c>
      <c r="W141" s="286">
        <f t="shared" si="25"/>
        <v>657.67962139608619</v>
      </c>
      <c r="X141" s="286">
        <f t="shared" si="25"/>
        <v>1056.6796213960861</v>
      </c>
      <c r="Y141" s="286">
        <f t="shared" si="25"/>
        <v>1455.6796213960861</v>
      </c>
      <c r="Z141" s="286">
        <f t="shared" si="25"/>
        <v>1854.6796213960861</v>
      </c>
      <c r="AA141" s="286">
        <f t="shared" si="25"/>
        <v>2253.6796213960861</v>
      </c>
      <c r="AB141" s="286">
        <f t="shared" si="25"/>
        <v>2652.6796213960856</v>
      </c>
      <c r="AC141" s="286">
        <f t="shared" si="25"/>
        <v>3051.6796213960861</v>
      </c>
      <c r="AD141" s="286">
        <f t="shared" si="25"/>
        <v>3450.6796213960861</v>
      </c>
      <c r="AE141" s="286">
        <f t="shared" si="25"/>
        <v>3849.6796213960861</v>
      </c>
      <c r="AG141" s="288">
        <v>0.95</v>
      </c>
      <c r="AH141" s="286">
        <f t="shared" si="23"/>
        <v>-250.24075720782767</v>
      </c>
      <c r="AI141" s="286">
        <f t="shared" si="23"/>
        <v>23.359242792172324</v>
      </c>
      <c r="AJ141" s="286">
        <f t="shared" si="23"/>
        <v>327.35924279217232</v>
      </c>
      <c r="AK141" s="286">
        <f t="shared" si="23"/>
        <v>631.35924279217215</v>
      </c>
      <c r="AL141" s="286">
        <f t="shared" si="23"/>
        <v>935.35924279217238</v>
      </c>
      <c r="AM141" s="286">
        <f t="shared" si="23"/>
        <v>1239.3592427921724</v>
      </c>
      <c r="AN141" s="286">
        <f t="shared" si="23"/>
        <v>1543.3592427921722</v>
      </c>
      <c r="AO141" s="286">
        <f t="shared" si="23"/>
        <v>1847.3592427921719</v>
      </c>
      <c r="AP141" s="286">
        <f t="shared" si="23"/>
        <v>2151.3592427921722</v>
      </c>
      <c r="AQ141" s="286">
        <f t="shared" si="23"/>
        <v>2455.3592427921722</v>
      </c>
      <c r="AR141" s="286">
        <f t="shared" si="23"/>
        <v>2759.3592427921722</v>
      </c>
    </row>
    <row r="142" spans="7:44" ht="15.75" thickBot="1" x14ac:dyDescent="0.3">
      <c r="G142" s="287">
        <v>1</v>
      </c>
      <c r="H142" s="286">
        <f t="shared" si="24"/>
        <v>-238.64075720782768</v>
      </c>
      <c r="I142" s="286">
        <f t="shared" si="24"/>
        <v>139.35924279217232</v>
      </c>
      <c r="J142" s="286">
        <f t="shared" si="24"/>
        <v>559.35924279217238</v>
      </c>
      <c r="K142" s="286">
        <f t="shared" si="24"/>
        <v>979.35924279217238</v>
      </c>
      <c r="L142" s="286">
        <f t="shared" si="24"/>
        <v>1399.3592427921724</v>
      </c>
      <c r="M142" s="286">
        <f t="shared" si="24"/>
        <v>1819.3592427921724</v>
      </c>
      <c r="N142" s="286">
        <f t="shared" si="24"/>
        <v>2239.3592427921722</v>
      </c>
      <c r="O142" s="286">
        <f t="shared" si="24"/>
        <v>2659.3592427921722</v>
      </c>
      <c r="P142" s="286">
        <f t="shared" si="24"/>
        <v>3079.3592427921722</v>
      </c>
      <c r="Q142" s="286">
        <f t="shared" si="24"/>
        <v>3499.3592427921722</v>
      </c>
      <c r="R142" s="286">
        <f t="shared" si="24"/>
        <v>3919.3592427921722</v>
      </c>
      <c r="T142" s="287">
        <v>1</v>
      </c>
      <c r="U142" s="286">
        <f t="shared" si="25"/>
        <v>-98.320378603913838</v>
      </c>
      <c r="V142" s="286">
        <f t="shared" si="25"/>
        <v>279.67962139608619</v>
      </c>
      <c r="W142" s="286">
        <f t="shared" si="25"/>
        <v>699.67962139608619</v>
      </c>
      <c r="X142" s="286">
        <f t="shared" si="25"/>
        <v>1119.6796213960861</v>
      </c>
      <c r="Y142" s="286">
        <f t="shared" si="25"/>
        <v>1539.6796213960861</v>
      </c>
      <c r="Z142" s="286">
        <f t="shared" si="25"/>
        <v>1959.6796213960861</v>
      </c>
      <c r="AA142" s="286">
        <f t="shared" si="25"/>
        <v>2379.6796213960861</v>
      </c>
      <c r="AB142" s="286">
        <f t="shared" si="25"/>
        <v>2799.6796213960861</v>
      </c>
      <c r="AC142" s="286">
        <f t="shared" si="25"/>
        <v>3219.6796213960861</v>
      </c>
      <c r="AD142" s="286">
        <f t="shared" si="25"/>
        <v>3639.6796213960861</v>
      </c>
      <c r="AE142" s="286">
        <f t="shared" si="25"/>
        <v>4059.6796213960861</v>
      </c>
      <c r="AG142" s="287">
        <v>1</v>
      </c>
      <c r="AH142" s="286">
        <f t="shared" si="23"/>
        <v>-248.64075720782768</v>
      </c>
      <c r="AI142" s="286">
        <f t="shared" si="23"/>
        <v>39.359242792172324</v>
      </c>
      <c r="AJ142" s="286">
        <f t="shared" si="23"/>
        <v>359.35924279217232</v>
      </c>
      <c r="AK142" s="286">
        <f t="shared" si="23"/>
        <v>679.35924279217238</v>
      </c>
      <c r="AL142" s="286">
        <f t="shared" si="23"/>
        <v>999.35924279217238</v>
      </c>
      <c r="AM142" s="286">
        <f t="shared" si="23"/>
        <v>1319.3592427921724</v>
      </c>
      <c r="AN142" s="286">
        <f t="shared" si="23"/>
        <v>1639.3592427921724</v>
      </c>
      <c r="AO142" s="286">
        <f t="shared" si="23"/>
        <v>1959.3592427921724</v>
      </c>
      <c r="AP142" s="286">
        <f t="shared" si="23"/>
        <v>2279.3592427921722</v>
      </c>
      <c r="AQ142" s="286">
        <f t="shared" si="23"/>
        <v>2599.3592427921722</v>
      </c>
      <c r="AR142" s="286">
        <f t="shared" si="23"/>
        <v>2919.3592427921722</v>
      </c>
    </row>
    <row r="146" spans="7:44" x14ac:dyDescent="0.25">
      <c r="G146" s="340" t="s">
        <v>285</v>
      </c>
      <c r="H146" s="340"/>
      <c r="I146" s="340"/>
      <c r="J146" s="340"/>
      <c r="K146" s="340"/>
      <c r="L146" s="340"/>
      <c r="M146" s="340"/>
      <c r="N146" s="340"/>
      <c r="O146" s="340"/>
      <c r="P146" s="340"/>
      <c r="Q146" s="340"/>
      <c r="R146" s="340"/>
      <c r="T146" s="340" t="str">
        <f>CONCATENATE("Livestock Guardian Dog", TEXT($C$32," (0%")," Subsidy)")</f>
        <v>Livestock Guardian Dog (50% Subsidy)</v>
      </c>
      <c r="U146" s="340"/>
      <c r="V146" s="340"/>
      <c r="W146" s="340"/>
      <c r="X146" s="340"/>
      <c r="Y146" s="340"/>
      <c r="Z146" s="340"/>
      <c r="AA146" s="340"/>
      <c r="AB146" s="340"/>
      <c r="AC146" s="340"/>
      <c r="AD146" s="340"/>
      <c r="AE146" s="340"/>
      <c r="AG146" s="340" t="str">
        <f>CONCATENATE("Livestock Guardian Dog", TEXT($C$33," (0%")," Livestock Compensation)")</f>
        <v>Livestock Guardian Dog (25% Livestock Compensation)</v>
      </c>
      <c r="AH146" s="340"/>
      <c r="AI146" s="340"/>
      <c r="AJ146" s="340"/>
      <c r="AK146" s="340"/>
      <c r="AL146" s="340"/>
      <c r="AM146" s="340"/>
      <c r="AN146" s="340"/>
      <c r="AO146" s="340"/>
      <c r="AP146" s="340"/>
      <c r="AQ146" s="340"/>
      <c r="AR146" s="340"/>
    </row>
    <row r="147" spans="7:44" ht="15.75" thickBot="1" x14ac:dyDescent="0.3">
      <c r="G147" s="344"/>
      <c r="H147" s="344"/>
      <c r="I147" s="344"/>
      <c r="J147" s="344"/>
      <c r="K147" s="344"/>
      <c r="L147" s="344"/>
      <c r="M147" s="344"/>
      <c r="N147" s="344"/>
      <c r="O147" s="344"/>
      <c r="P147" s="344"/>
      <c r="Q147" s="344"/>
      <c r="R147" s="344"/>
      <c r="T147" s="344"/>
      <c r="U147" s="344"/>
      <c r="V147" s="344"/>
      <c r="W147" s="344"/>
      <c r="X147" s="344"/>
      <c r="Y147" s="344"/>
      <c r="Z147" s="344"/>
      <c r="AA147" s="344"/>
      <c r="AB147" s="344"/>
      <c r="AC147" s="344"/>
      <c r="AD147" s="344"/>
      <c r="AE147" s="344"/>
      <c r="AG147" s="344"/>
      <c r="AH147" s="344"/>
      <c r="AI147" s="344"/>
      <c r="AJ147" s="344"/>
      <c r="AK147" s="344"/>
      <c r="AL147" s="344"/>
      <c r="AM147" s="344"/>
      <c r="AN147" s="344"/>
      <c r="AO147" s="344"/>
      <c r="AP147" s="344"/>
      <c r="AQ147" s="344"/>
      <c r="AR147" s="344"/>
    </row>
    <row r="148" spans="7:44" ht="15.75" thickBot="1" x14ac:dyDescent="0.3">
      <c r="G148" s="292" t="s">
        <v>282</v>
      </c>
      <c r="H148" s="291">
        <v>0.01</v>
      </c>
      <c r="I148" s="291">
        <v>0.1</v>
      </c>
      <c r="J148" s="291">
        <v>0.2</v>
      </c>
      <c r="K148" s="291">
        <v>0.3</v>
      </c>
      <c r="L148" s="291">
        <v>0.4</v>
      </c>
      <c r="M148" s="291">
        <v>0.5</v>
      </c>
      <c r="N148" s="291">
        <v>0.6</v>
      </c>
      <c r="O148" s="291">
        <v>0.7</v>
      </c>
      <c r="P148" s="291">
        <v>0.8</v>
      </c>
      <c r="Q148" s="291">
        <v>0.9</v>
      </c>
      <c r="R148" s="290">
        <v>1</v>
      </c>
      <c r="T148" s="292" t="s">
        <v>282</v>
      </c>
      <c r="U148" s="291">
        <v>0.01</v>
      </c>
      <c r="V148" s="291">
        <v>0.1</v>
      </c>
      <c r="W148" s="291">
        <v>0.2</v>
      </c>
      <c r="X148" s="291">
        <v>0.3</v>
      </c>
      <c r="Y148" s="291">
        <v>0.4</v>
      </c>
      <c r="Z148" s="291">
        <v>0.5</v>
      </c>
      <c r="AA148" s="291">
        <v>0.6</v>
      </c>
      <c r="AB148" s="291">
        <v>0.7</v>
      </c>
      <c r="AC148" s="291">
        <v>0.8</v>
      </c>
      <c r="AD148" s="291">
        <v>0.9</v>
      </c>
      <c r="AE148" s="290">
        <v>1</v>
      </c>
      <c r="AG148" s="292" t="s">
        <v>282</v>
      </c>
      <c r="AH148" s="291">
        <v>0.01</v>
      </c>
      <c r="AI148" s="291">
        <v>0.1</v>
      </c>
      <c r="AJ148" s="291">
        <v>0.2</v>
      </c>
      <c r="AK148" s="291">
        <v>0.3</v>
      </c>
      <c r="AL148" s="291">
        <v>0.4</v>
      </c>
      <c r="AM148" s="291">
        <v>0.5</v>
      </c>
      <c r="AN148" s="291">
        <v>0.6</v>
      </c>
      <c r="AO148" s="291">
        <v>0.7</v>
      </c>
      <c r="AP148" s="291">
        <v>0.8</v>
      </c>
      <c r="AQ148" s="291">
        <v>0.9</v>
      </c>
      <c r="AR148" s="290">
        <v>1</v>
      </c>
    </row>
    <row r="149" spans="7:44" ht="30" x14ac:dyDescent="0.25">
      <c r="G149" s="289" t="s">
        <v>281</v>
      </c>
      <c r="T149" s="289" t="s">
        <v>281</v>
      </c>
      <c r="AG149" s="289" t="s">
        <v>281</v>
      </c>
    </row>
    <row r="150" spans="7:44" x14ac:dyDescent="0.25">
      <c r="G150" s="288">
        <v>0</v>
      </c>
      <c r="H150" s="286">
        <f t="shared" ref="H150:R159" si="26">(((H$148*$G150)*($C$21+$C$23))-($C$29-($C$29*$C$31)))</f>
        <v>-2464.180038344291</v>
      </c>
      <c r="I150" s="286">
        <f t="shared" si="26"/>
        <v>-2464.180038344291</v>
      </c>
      <c r="J150" s="286">
        <f t="shared" si="26"/>
        <v>-2464.180038344291</v>
      </c>
      <c r="K150" s="286">
        <f t="shared" si="26"/>
        <v>-2464.180038344291</v>
      </c>
      <c r="L150" s="286">
        <f t="shared" si="26"/>
        <v>-2464.180038344291</v>
      </c>
      <c r="M150" s="286">
        <f t="shared" si="26"/>
        <v>-2464.180038344291</v>
      </c>
      <c r="N150" s="286">
        <f t="shared" si="26"/>
        <v>-2464.180038344291</v>
      </c>
      <c r="O150" s="286">
        <f t="shared" si="26"/>
        <v>-2464.180038344291</v>
      </c>
      <c r="P150" s="286">
        <f t="shared" si="26"/>
        <v>-2464.180038344291</v>
      </c>
      <c r="Q150" s="286">
        <f t="shared" si="26"/>
        <v>-2464.180038344291</v>
      </c>
      <c r="R150" s="286">
        <f t="shared" si="26"/>
        <v>-2464.180038344291</v>
      </c>
      <c r="T150" s="288">
        <v>0</v>
      </c>
      <c r="U150" s="286">
        <f t="shared" ref="U150:AE159" si="27">(((U$148*$T150)*($C$21+$C$23))-($C$29-($C$29*$C$32)))</f>
        <v>-1232.0900191721455</v>
      </c>
      <c r="V150" s="286">
        <f t="shared" si="27"/>
        <v>-1232.0900191721455</v>
      </c>
      <c r="W150" s="286">
        <f t="shared" si="27"/>
        <v>-1232.0900191721455</v>
      </c>
      <c r="X150" s="286">
        <f t="shared" si="27"/>
        <v>-1232.0900191721455</v>
      </c>
      <c r="Y150" s="286">
        <f t="shared" si="27"/>
        <v>-1232.0900191721455</v>
      </c>
      <c r="Z150" s="286">
        <f t="shared" si="27"/>
        <v>-1232.0900191721455</v>
      </c>
      <c r="AA150" s="286">
        <f t="shared" si="27"/>
        <v>-1232.0900191721455</v>
      </c>
      <c r="AB150" s="286">
        <f t="shared" si="27"/>
        <v>-1232.0900191721455</v>
      </c>
      <c r="AC150" s="286">
        <f t="shared" si="27"/>
        <v>-1232.0900191721455</v>
      </c>
      <c r="AD150" s="286">
        <f t="shared" si="27"/>
        <v>-1232.0900191721455</v>
      </c>
      <c r="AE150" s="286">
        <f t="shared" si="27"/>
        <v>-1232.0900191721455</v>
      </c>
      <c r="AG150" s="288">
        <v>0</v>
      </c>
      <c r="AH150" s="286">
        <f>(((AH$148*$AG150)*((1-$C$33)*$C$21+$C$23))-($C$29-($C$29*$C$31)))</f>
        <v>-2464.180038344291</v>
      </c>
      <c r="AI150" s="286">
        <f t="shared" ref="AI150:AR150" si="28">(((AI$148*$AG150)*((1-$C$33)*$C$21+$C$23))-($C$29-($C$29*$C$31)))</f>
        <v>-2464.180038344291</v>
      </c>
      <c r="AJ150" s="286">
        <f t="shared" si="28"/>
        <v>-2464.180038344291</v>
      </c>
      <c r="AK150" s="286">
        <f t="shared" si="28"/>
        <v>-2464.180038344291</v>
      </c>
      <c r="AL150" s="286">
        <f t="shared" si="28"/>
        <v>-2464.180038344291</v>
      </c>
      <c r="AM150" s="286">
        <f t="shared" si="28"/>
        <v>-2464.180038344291</v>
      </c>
      <c r="AN150" s="286">
        <f t="shared" si="28"/>
        <v>-2464.180038344291</v>
      </c>
      <c r="AO150" s="286">
        <f t="shared" si="28"/>
        <v>-2464.180038344291</v>
      </c>
      <c r="AP150" s="286">
        <f t="shared" si="28"/>
        <v>-2464.180038344291</v>
      </c>
      <c r="AQ150" s="286">
        <f t="shared" si="28"/>
        <v>-2464.180038344291</v>
      </c>
      <c r="AR150" s="286">
        <f t="shared" si="28"/>
        <v>-2464.180038344291</v>
      </c>
    </row>
    <row r="151" spans="7:44" hidden="1" outlineLevel="1" x14ac:dyDescent="0.25">
      <c r="G151" s="288">
        <v>0.05</v>
      </c>
      <c r="H151" s="286">
        <f t="shared" si="26"/>
        <v>-2462.0800383442911</v>
      </c>
      <c r="I151" s="286">
        <f t="shared" si="26"/>
        <v>-2443.180038344291</v>
      </c>
      <c r="J151" s="286">
        <f t="shared" si="26"/>
        <v>-2422.180038344291</v>
      </c>
      <c r="K151" s="286">
        <f t="shared" si="26"/>
        <v>-2401.180038344291</v>
      </c>
      <c r="L151" s="286">
        <f t="shared" si="26"/>
        <v>-2380.180038344291</v>
      </c>
      <c r="M151" s="286">
        <f t="shared" si="26"/>
        <v>-2359.180038344291</v>
      </c>
      <c r="N151" s="286">
        <f t="shared" si="26"/>
        <v>-2338.180038344291</v>
      </c>
      <c r="O151" s="286">
        <f t="shared" si="26"/>
        <v>-2317.180038344291</v>
      </c>
      <c r="P151" s="286">
        <f t="shared" si="26"/>
        <v>-2296.180038344291</v>
      </c>
      <c r="Q151" s="286">
        <f t="shared" si="26"/>
        <v>-2275.180038344291</v>
      </c>
      <c r="R151" s="286">
        <f t="shared" si="26"/>
        <v>-2254.180038344291</v>
      </c>
      <c r="T151" s="288">
        <v>0.05</v>
      </c>
      <c r="U151" s="286">
        <f t="shared" si="27"/>
        <v>-1229.9900191721456</v>
      </c>
      <c r="V151" s="286">
        <f t="shared" si="27"/>
        <v>-1211.0900191721455</v>
      </c>
      <c r="W151" s="286">
        <f t="shared" si="27"/>
        <v>-1190.0900191721455</v>
      </c>
      <c r="X151" s="286">
        <f t="shared" si="27"/>
        <v>-1169.0900191721455</v>
      </c>
      <c r="Y151" s="286">
        <f t="shared" si="27"/>
        <v>-1148.0900191721455</v>
      </c>
      <c r="Z151" s="286">
        <f t="shared" si="27"/>
        <v>-1127.0900191721455</v>
      </c>
      <c r="AA151" s="286">
        <f t="shared" si="27"/>
        <v>-1106.0900191721455</v>
      </c>
      <c r="AB151" s="286">
        <f t="shared" si="27"/>
        <v>-1085.0900191721455</v>
      </c>
      <c r="AC151" s="286">
        <f t="shared" si="27"/>
        <v>-1064.0900191721455</v>
      </c>
      <c r="AD151" s="286">
        <f t="shared" si="27"/>
        <v>-1043.0900191721455</v>
      </c>
      <c r="AE151" s="286">
        <f t="shared" si="27"/>
        <v>-1022.0900191721455</v>
      </c>
      <c r="AG151" s="288">
        <v>0.05</v>
      </c>
      <c r="AH151" s="286">
        <f t="shared" ref="AH151:AR170" si="29">(((AH$148*$AG151)*((1-$C$33)*$C$21+$C$23))-($C$29-($C$29*$C$31)))</f>
        <v>-2462.5800383442911</v>
      </c>
      <c r="AI151" s="286">
        <f t="shared" si="29"/>
        <v>-2448.180038344291</v>
      </c>
      <c r="AJ151" s="286">
        <f t="shared" si="29"/>
        <v>-2432.180038344291</v>
      </c>
      <c r="AK151" s="286">
        <f t="shared" si="29"/>
        <v>-2416.180038344291</v>
      </c>
      <c r="AL151" s="286">
        <f t="shared" si="29"/>
        <v>-2400.180038344291</v>
      </c>
      <c r="AM151" s="286">
        <f t="shared" si="29"/>
        <v>-2384.180038344291</v>
      </c>
      <c r="AN151" s="286">
        <f t="shared" si="29"/>
        <v>-2368.180038344291</v>
      </c>
      <c r="AO151" s="286">
        <f t="shared" si="29"/>
        <v>-2352.180038344291</v>
      </c>
      <c r="AP151" s="286">
        <f t="shared" si="29"/>
        <v>-2336.180038344291</v>
      </c>
      <c r="AQ151" s="286">
        <f t="shared" si="29"/>
        <v>-2320.180038344291</v>
      </c>
      <c r="AR151" s="286">
        <f t="shared" si="29"/>
        <v>-2304.180038344291</v>
      </c>
    </row>
    <row r="152" spans="7:44" hidden="1" outlineLevel="1" x14ac:dyDescent="0.25">
      <c r="G152" s="288">
        <v>0.1</v>
      </c>
      <c r="H152" s="286">
        <f t="shared" si="26"/>
        <v>-2459.9800383442912</v>
      </c>
      <c r="I152" s="286">
        <f t="shared" si="26"/>
        <v>-2422.180038344291</v>
      </c>
      <c r="J152" s="286">
        <f t="shared" si="26"/>
        <v>-2380.180038344291</v>
      </c>
      <c r="K152" s="286">
        <f t="shared" si="26"/>
        <v>-2338.180038344291</v>
      </c>
      <c r="L152" s="286">
        <f t="shared" si="26"/>
        <v>-2296.180038344291</v>
      </c>
      <c r="M152" s="286">
        <f t="shared" si="26"/>
        <v>-2254.180038344291</v>
      </c>
      <c r="N152" s="286">
        <f t="shared" si="26"/>
        <v>-2212.180038344291</v>
      </c>
      <c r="O152" s="286">
        <f t="shared" si="26"/>
        <v>-2170.180038344291</v>
      </c>
      <c r="P152" s="286">
        <f t="shared" si="26"/>
        <v>-2128.180038344291</v>
      </c>
      <c r="Q152" s="286">
        <f t="shared" si="26"/>
        <v>-2086.180038344291</v>
      </c>
      <c r="R152" s="286">
        <f t="shared" si="26"/>
        <v>-2044.180038344291</v>
      </c>
      <c r="T152" s="288">
        <v>0.1</v>
      </c>
      <c r="U152" s="286">
        <f t="shared" si="27"/>
        <v>-1227.8900191721455</v>
      </c>
      <c r="V152" s="286">
        <f t="shared" si="27"/>
        <v>-1190.0900191721455</v>
      </c>
      <c r="W152" s="286">
        <f t="shared" si="27"/>
        <v>-1148.0900191721455</v>
      </c>
      <c r="X152" s="286">
        <f t="shared" si="27"/>
        <v>-1106.0900191721455</v>
      </c>
      <c r="Y152" s="286">
        <f t="shared" si="27"/>
        <v>-1064.0900191721455</v>
      </c>
      <c r="Z152" s="286">
        <f t="shared" si="27"/>
        <v>-1022.0900191721455</v>
      </c>
      <c r="AA152" s="286">
        <f t="shared" si="27"/>
        <v>-980.0900191721455</v>
      </c>
      <c r="AB152" s="286">
        <f t="shared" si="27"/>
        <v>-938.0900191721455</v>
      </c>
      <c r="AC152" s="286">
        <f t="shared" si="27"/>
        <v>-896.0900191721455</v>
      </c>
      <c r="AD152" s="286">
        <f t="shared" si="27"/>
        <v>-854.0900191721455</v>
      </c>
      <c r="AE152" s="286">
        <f t="shared" si="27"/>
        <v>-812.0900191721455</v>
      </c>
      <c r="AG152" s="288">
        <v>0.1</v>
      </c>
      <c r="AH152" s="286">
        <f t="shared" si="29"/>
        <v>-2460.9800383442912</v>
      </c>
      <c r="AI152" s="286">
        <f t="shared" si="29"/>
        <v>-2432.180038344291</v>
      </c>
      <c r="AJ152" s="286">
        <f t="shared" si="29"/>
        <v>-2400.180038344291</v>
      </c>
      <c r="AK152" s="286">
        <f t="shared" si="29"/>
        <v>-2368.180038344291</v>
      </c>
      <c r="AL152" s="286">
        <f t="shared" si="29"/>
        <v>-2336.180038344291</v>
      </c>
      <c r="AM152" s="286">
        <f t="shared" si="29"/>
        <v>-2304.180038344291</v>
      </c>
      <c r="AN152" s="286">
        <f t="shared" si="29"/>
        <v>-2272.180038344291</v>
      </c>
      <c r="AO152" s="286">
        <f t="shared" si="29"/>
        <v>-2240.180038344291</v>
      </c>
      <c r="AP152" s="286">
        <f t="shared" si="29"/>
        <v>-2208.180038344291</v>
      </c>
      <c r="AQ152" s="286">
        <f t="shared" si="29"/>
        <v>-2176.180038344291</v>
      </c>
      <c r="AR152" s="286">
        <f t="shared" si="29"/>
        <v>-2144.180038344291</v>
      </c>
    </row>
    <row r="153" spans="7:44" hidden="1" outlineLevel="1" x14ac:dyDescent="0.25">
      <c r="G153" s="288">
        <v>0.15</v>
      </c>
      <c r="H153" s="286">
        <f t="shared" si="26"/>
        <v>-2457.8800383442908</v>
      </c>
      <c r="I153" s="286">
        <f t="shared" si="26"/>
        <v>-2401.180038344291</v>
      </c>
      <c r="J153" s="286">
        <f t="shared" si="26"/>
        <v>-2338.180038344291</v>
      </c>
      <c r="K153" s="286">
        <f t="shared" si="26"/>
        <v>-2275.180038344291</v>
      </c>
      <c r="L153" s="286">
        <f t="shared" si="26"/>
        <v>-2212.180038344291</v>
      </c>
      <c r="M153" s="286">
        <f t="shared" si="26"/>
        <v>-2149.180038344291</v>
      </c>
      <c r="N153" s="286">
        <f t="shared" si="26"/>
        <v>-2086.180038344291</v>
      </c>
      <c r="O153" s="286">
        <f t="shared" si="26"/>
        <v>-2023.180038344291</v>
      </c>
      <c r="P153" s="286">
        <f t="shared" si="26"/>
        <v>-1960.180038344291</v>
      </c>
      <c r="Q153" s="286">
        <f t="shared" si="26"/>
        <v>-1897.180038344291</v>
      </c>
      <c r="R153" s="286">
        <f t="shared" si="26"/>
        <v>-1834.180038344291</v>
      </c>
      <c r="T153" s="288">
        <v>0.15</v>
      </c>
      <c r="U153" s="286">
        <f t="shared" si="27"/>
        <v>-1225.7900191721455</v>
      </c>
      <c r="V153" s="286">
        <f t="shared" si="27"/>
        <v>-1169.0900191721455</v>
      </c>
      <c r="W153" s="286">
        <f t="shared" si="27"/>
        <v>-1106.0900191721455</v>
      </c>
      <c r="X153" s="286">
        <f t="shared" si="27"/>
        <v>-1043.0900191721455</v>
      </c>
      <c r="Y153" s="286">
        <f t="shared" si="27"/>
        <v>-980.0900191721455</v>
      </c>
      <c r="Z153" s="286">
        <f t="shared" si="27"/>
        <v>-917.0900191721455</v>
      </c>
      <c r="AA153" s="286">
        <f t="shared" si="27"/>
        <v>-854.0900191721455</v>
      </c>
      <c r="AB153" s="286">
        <f t="shared" si="27"/>
        <v>-791.0900191721455</v>
      </c>
      <c r="AC153" s="286">
        <f t="shared" si="27"/>
        <v>-728.0900191721455</v>
      </c>
      <c r="AD153" s="286">
        <f t="shared" si="27"/>
        <v>-665.0900191721455</v>
      </c>
      <c r="AE153" s="286">
        <f t="shared" si="27"/>
        <v>-602.0900191721455</v>
      </c>
      <c r="AG153" s="288">
        <v>0.15</v>
      </c>
      <c r="AH153" s="286">
        <f t="shared" si="29"/>
        <v>-2459.3800383442908</v>
      </c>
      <c r="AI153" s="286">
        <f t="shared" si="29"/>
        <v>-2416.180038344291</v>
      </c>
      <c r="AJ153" s="286">
        <f t="shared" si="29"/>
        <v>-2368.180038344291</v>
      </c>
      <c r="AK153" s="286">
        <f t="shared" si="29"/>
        <v>-2320.180038344291</v>
      </c>
      <c r="AL153" s="286">
        <f t="shared" si="29"/>
        <v>-2272.180038344291</v>
      </c>
      <c r="AM153" s="286">
        <f t="shared" si="29"/>
        <v>-2224.180038344291</v>
      </c>
      <c r="AN153" s="286">
        <f t="shared" si="29"/>
        <v>-2176.180038344291</v>
      </c>
      <c r="AO153" s="286">
        <f t="shared" si="29"/>
        <v>-2128.180038344291</v>
      </c>
      <c r="AP153" s="286">
        <f t="shared" si="29"/>
        <v>-2080.180038344291</v>
      </c>
      <c r="AQ153" s="286">
        <f t="shared" si="29"/>
        <v>-2032.180038344291</v>
      </c>
      <c r="AR153" s="286">
        <f t="shared" si="29"/>
        <v>-1984.180038344291</v>
      </c>
    </row>
    <row r="154" spans="7:44" hidden="1" outlineLevel="1" x14ac:dyDescent="0.25">
      <c r="G154" s="288">
        <v>0.2</v>
      </c>
      <c r="H154" s="286">
        <f t="shared" si="26"/>
        <v>-2455.7800383442909</v>
      </c>
      <c r="I154" s="286">
        <f t="shared" si="26"/>
        <v>-2380.180038344291</v>
      </c>
      <c r="J154" s="286">
        <f t="shared" si="26"/>
        <v>-2296.180038344291</v>
      </c>
      <c r="K154" s="286">
        <f t="shared" si="26"/>
        <v>-2212.180038344291</v>
      </c>
      <c r="L154" s="286">
        <f t="shared" si="26"/>
        <v>-2128.180038344291</v>
      </c>
      <c r="M154" s="286">
        <f t="shared" si="26"/>
        <v>-2044.180038344291</v>
      </c>
      <c r="N154" s="286">
        <f t="shared" si="26"/>
        <v>-1960.180038344291</v>
      </c>
      <c r="O154" s="286">
        <f t="shared" si="26"/>
        <v>-1876.180038344291</v>
      </c>
      <c r="P154" s="286">
        <f t="shared" si="26"/>
        <v>-1792.180038344291</v>
      </c>
      <c r="Q154" s="286">
        <f t="shared" si="26"/>
        <v>-1708.180038344291</v>
      </c>
      <c r="R154" s="286">
        <f t="shared" si="26"/>
        <v>-1624.180038344291</v>
      </c>
      <c r="T154" s="288">
        <v>0.2</v>
      </c>
      <c r="U154" s="286">
        <f t="shared" si="27"/>
        <v>-1223.6900191721454</v>
      </c>
      <c r="V154" s="286">
        <f t="shared" si="27"/>
        <v>-1148.0900191721455</v>
      </c>
      <c r="W154" s="286">
        <f t="shared" si="27"/>
        <v>-1064.0900191721455</v>
      </c>
      <c r="X154" s="286">
        <f t="shared" si="27"/>
        <v>-980.0900191721455</v>
      </c>
      <c r="Y154" s="286">
        <f t="shared" si="27"/>
        <v>-896.0900191721455</v>
      </c>
      <c r="Z154" s="286">
        <f t="shared" si="27"/>
        <v>-812.0900191721455</v>
      </c>
      <c r="AA154" s="286">
        <f t="shared" si="27"/>
        <v>-728.0900191721455</v>
      </c>
      <c r="AB154" s="286">
        <f t="shared" si="27"/>
        <v>-644.09001917214562</v>
      </c>
      <c r="AC154" s="286">
        <f t="shared" si="27"/>
        <v>-560.09001917214539</v>
      </c>
      <c r="AD154" s="286">
        <f t="shared" si="27"/>
        <v>-476.09001917214539</v>
      </c>
      <c r="AE154" s="286">
        <f t="shared" si="27"/>
        <v>-392.0900191721455</v>
      </c>
      <c r="AG154" s="288">
        <v>0.2</v>
      </c>
      <c r="AH154" s="286">
        <f t="shared" si="29"/>
        <v>-2457.7800383442909</v>
      </c>
      <c r="AI154" s="286">
        <f t="shared" si="29"/>
        <v>-2400.180038344291</v>
      </c>
      <c r="AJ154" s="286">
        <f t="shared" si="29"/>
        <v>-2336.180038344291</v>
      </c>
      <c r="AK154" s="286">
        <f t="shared" si="29"/>
        <v>-2272.180038344291</v>
      </c>
      <c r="AL154" s="286">
        <f t="shared" si="29"/>
        <v>-2208.180038344291</v>
      </c>
      <c r="AM154" s="286">
        <f t="shared" si="29"/>
        <v>-2144.180038344291</v>
      </c>
      <c r="AN154" s="286">
        <f t="shared" si="29"/>
        <v>-2080.180038344291</v>
      </c>
      <c r="AO154" s="286">
        <f t="shared" si="29"/>
        <v>-2016.180038344291</v>
      </c>
      <c r="AP154" s="286">
        <f t="shared" si="29"/>
        <v>-1952.180038344291</v>
      </c>
      <c r="AQ154" s="286">
        <f t="shared" si="29"/>
        <v>-1888.180038344291</v>
      </c>
      <c r="AR154" s="286">
        <f t="shared" si="29"/>
        <v>-1824.180038344291</v>
      </c>
    </row>
    <row r="155" spans="7:44" hidden="1" outlineLevel="1" x14ac:dyDescent="0.25">
      <c r="G155" s="288">
        <v>0.25</v>
      </c>
      <c r="H155" s="286">
        <f t="shared" si="26"/>
        <v>-2453.680038344291</v>
      </c>
      <c r="I155" s="286">
        <f t="shared" si="26"/>
        <v>-2359.180038344291</v>
      </c>
      <c r="J155" s="286">
        <f t="shared" si="26"/>
        <v>-2254.180038344291</v>
      </c>
      <c r="K155" s="286">
        <f t="shared" si="26"/>
        <v>-2149.180038344291</v>
      </c>
      <c r="L155" s="286">
        <f t="shared" si="26"/>
        <v>-2044.180038344291</v>
      </c>
      <c r="M155" s="286">
        <f t="shared" si="26"/>
        <v>-1939.180038344291</v>
      </c>
      <c r="N155" s="286">
        <f t="shared" si="26"/>
        <v>-1834.180038344291</v>
      </c>
      <c r="O155" s="286">
        <f t="shared" si="26"/>
        <v>-1729.180038344291</v>
      </c>
      <c r="P155" s="286">
        <f t="shared" si="26"/>
        <v>-1624.180038344291</v>
      </c>
      <c r="Q155" s="286">
        <f t="shared" si="26"/>
        <v>-1519.180038344291</v>
      </c>
      <c r="R155" s="286">
        <f t="shared" si="26"/>
        <v>-1414.180038344291</v>
      </c>
      <c r="T155" s="288">
        <v>0.25</v>
      </c>
      <c r="U155" s="286">
        <f t="shared" si="27"/>
        <v>-1221.5900191721455</v>
      </c>
      <c r="V155" s="286">
        <f t="shared" si="27"/>
        <v>-1127.0900191721455</v>
      </c>
      <c r="W155" s="286">
        <f t="shared" si="27"/>
        <v>-1022.0900191721455</v>
      </c>
      <c r="X155" s="286">
        <f t="shared" si="27"/>
        <v>-917.0900191721455</v>
      </c>
      <c r="Y155" s="286">
        <f t="shared" si="27"/>
        <v>-812.0900191721455</v>
      </c>
      <c r="Z155" s="286">
        <f t="shared" si="27"/>
        <v>-707.0900191721455</v>
      </c>
      <c r="AA155" s="286">
        <f t="shared" si="27"/>
        <v>-602.0900191721455</v>
      </c>
      <c r="AB155" s="286">
        <f t="shared" si="27"/>
        <v>-497.0900191721455</v>
      </c>
      <c r="AC155" s="286">
        <f t="shared" si="27"/>
        <v>-392.0900191721455</v>
      </c>
      <c r="AD155" s="286">
        <f t="shared" si="27"/>
        <v>-287.0900191721455</v>
      </c>
      <c r="AE155" s="286">
        <f t="shared" si="27"/>
        <v>-182.0900191721455</v>
      </c>
      <c r="AG155" s="288">
        <v>0.25</v>
      </c>
      <c r="AH155" s="286">
        <f t="shared" si="29"/>
        <v>-2456.180038344291</v>
      </c>
      <c r="AI155" s="286">
        <f t="shared" si="29"/>
        <v>-2384.180038344291</v>
      </c>
      <c r="AJ155" s="286">
        <f t="shared" si="29"/>
        <v>-2304.180038344291</v>
      </c>
      <c r="AK155" s="286">
        <f t="shared" si="29"/>
        <v>-2224.180038344291</v>
      </c>
      <c r="AL155" s="286">
        <f t="shared" si="29"/>
        <v>-2144.180038344291</v>
      </c>
      <c r="AM155" s="286">
        <f t="shared" si="29"/>
        <v>-2064.180038344291</v>
      </c>
      <c r="AN155" s="286">
        <f t="shared" si="29"/>
        <v>-1984.180038344291</v>
      </c>
      <c r="AO155" s="286">
        <f t="shared" si="29"/>
        <v>-1904.180038344291</v>
      </c>
      <c r="AP155" s="286">
        <f t="shared" si="29"/>
        <v>-1824.180038344291</v>
      </c>
      <c r="AQ155" s="286">
        <f t="shared" si="29"/>
        <v>-1744.180038344291</v>
      </c>
      <c r="AR155" s="286">
        <f t="shared" si="29"/>
        <v>-1664.180038344291</v>
      </c>
    </row>
    <row r="156" spans="7:44" hidden="1" outlineLevel="1" x14ac:dyDescent="0.25">
      <c r="G156" s="288">
        <v>0.3</v>
      </c>
      <c r="H156" s="286">
        <f t="shared" si="26"/>
        <v>-2451.5800383442911</v>
      </c>
      <c r="I156" s="286">
        <f t="shared" si="26"/>
        <v>-2338.180038344291</v>
      </c>
      <c r="J156" s="286">
        <f t="shared" si="26"/>
        <v>-2212.180038344291</v>
      </c>
      <c r="K156" s="286">
        <f t="shared" si="26"/>
        <v>-2086.180038344291</v>
      </c>
      <c r="L156" s="286">
        <f t="shared" si="26"/>
        <v>-1960.180038344291</v>
      </c>
      <c r="M156" s="286">
        <f t="shared" si="26"/>
        <v>-1834.180038344291</v>
      </c>
      <c r="N156" s="286">
        <f t="shared" si="26"/>
        <v>-1708.180038344291</v>
      </c>
      <c r="O156" s="286">
        <f t="shared" si="26"/>
        <v>-1582.180038344291</v>
      </c>
      <c r="P156" s="286">
        <f t="shared" si="26"/>
        <v>-1456.180038344291</v>
      </c>
      <c r="Q156" s="286">
        <f t="shared" si="26"/>
        <v>-1330.180038344291</v>
      </c>
      <c r="R156" s="286">
        <f t="shared" si="26"/>
        <v>-1204.180038344291</v>
      </c>
      <c r="T156" s="288">
        <v>0.3</v>
      </c>
      <c r="U156" s="286">
        <f t="shared" si="27"/>
        <v>-1219.4900191721456</v>
      </c>
      <c r="V156" s="286">
        <f t="shared" si="27"/>
        <v>-1106.0900191721455</v>
      </c>
      <c r="W156" s="286">
        <f t="shared" si="27"/>
        <v>-980.0900191721455</v>
      </c>
      <c r="X156" s="286">
        <f t="shared" si="27"/>
        <v>-854.0900191721455</v>
      </c>
      <c r="Y156" s="286">
        <f t="shared" si="27"/>
        <v>-728.0900191721455</v>
      </c>
      <c r="Z156" s="286">
        <f t="shared" si="27"/>
        <v>-602.0900191721455</v>
      </c>
      <c r="AA156" s="286">
        <f t="shared" si="27"/>
        <v>-476.0900191721455</v>
      </c>
      <c r="AB156" s="286">
        <f t="shared" si="27"/>
        <v>-350.0900191721455</v>
      </c>
      <c r="AC156" s="286">
        <f t="shared" si="27"/>
        <v>-224.0900191721455</v>
      </c>
      <c r="AD156" s="286">
        <f t="shared" si="27"/>
        <v>-98.090019172145503</v>
      </c>
      <c r="AE156" s="286">
        <f t="shared" si="27"/>
        <v>27.909980827854497</v>
      </c>
      <c r="AG156" s="288">
        <v>0.3</v>
      </c>
      <c r="AH156" s="286">
        <f t="shared" si="29"/>
        <v>-2454.5800383442911</v>
      </c>
      <c r="AI156" s="286">
        <f t="shared" si="29"/>
        <v>-2368.180038344291</v>
      </c>
      <c r="AJ156" s="286">
        <f t="shared" si="29"/>
        <v>-2272.180038344291</v>
      </c>
      <c r="AK156" s="286">
        <f t="shared" si="29"/>
        <v>-2176.180038344291</v>
      </c>
      <c r="AL156" s="286">
        <f t="shared" si="29"/>
        <v>-2080.180038344291</v>
      </c>
      <c r="AM156" s="286">
        <f t="shared" si="29"/>
        <v>-1984.180038344291</v>
      </c>
      <c r="AN156" s="286">
        <f t="shared" si="29"/>
        <v>-1888.180038344291</v>
      </c>
      <c r="AO156" s="286">
        <f t="shared" si="29"/>
        <v>-1792.180038344291</v>
      </c>
      <c r="AP156" s="286">
        <f t="shared" si="29"/>
        <v>-1696.180038344291</v>
      </c>
      <c r="AQ156" s="286">
        <f t="shared" si="29"/>
        <v>-1600.180038344291</v>
      </c>
      <c r="AR156" s="286">
        <f t="shared" si="29"/>
        <v>-1504.180038344291</v>
      </c>
    </row>
    <row r="157" spans="7:44" hidden="1" outlineLevel="1" x14ac:dyDescent="0.25">
      <c r="G157" s="288">
        <v>0.35</v>
      </c>
      <c r="H157" s="286">
        <f t="shared" si="26"/>
        <v>-2449.4800383442912</v>
      </c>
      <c r="I157" s="286">
        <f t="shared" si="26"/>
        <v>-2317.180038344291</v>
      </c>
      <c r="J157" s="286">
        <f t="shared" si="26"/>
        <v>-2170.180038344291</v>
      </c>
      <c r="K157" s="286">
        <f t="shared" si="26"/>
        <v>-2023.180038344291</v>
      </c>
      <c r="L157" s="286">
        <f t="shared" si="26"/>
        <v>-1876.180038344291</v>
      </c>
      <c r="M157" s="286">
        <f t="shared" si="26"/>
        <v>-1729.180038344291</v>
      </c>
      <c r="N157" s="286">
        <f t="shared" si="26"/>
        <v>-1582.180038344291</v>
      </c>
      <c r="O157" s="286">
        <f t="shared" si="26"/>
        <v>-1435.1800383442912</v>
      </c>
      <c r="P157" s="286">
        <f t="shared" si="26"/>
        <v>-1288.1800383442912</v>
      </c>
      <c r="Q157" s="286">
        <f t="shared" si="26"/>
        <v>-1141.180038344291</v>
      </c>
      <c r="R157" s="286">
        <f t="shared" si="26"/>
        <v>-994.18003834429101</v>
      </c>
      <c r="T157" s="288">
        <v>0.35</v>
      </c>
      <c r="U157" s="286">
        <f t="shared" si="27"/>
        <v>-1217.3900191721455</v>
      </c>
      <c r="V157" s="286">
        <f t="shared" si="27"/>
        <v>-1085.0900191721455</v>
      </c>
      <c r="W157" s="286">
        <f t="shared" si="27"/>
        <v>-938.0900191721455</v>
      </c>
      <c r="X157" s="286">
        <f t="shared" si="27"/>
        <v>-791.0900191721455</v>
      </c>
      <c r="Y157" s="286">
        <f t="shared" si="27"/>
        <v>-644.09001917214562</v>
      </c>
      <c r="Z157" s="286">
        <f t="shared" si="27"/>
        <v>-497.0900191721455</v>
      </c>
      <c r="AA157" s="286">
        <f t="shared" si="27"/>
        <v>-350.0900191721455</v>
      </c>
      <c r="AB157" s="286">
        <f t="shared" si="27"/>
        <v>-203.09001917214573</v>
      </c>
      <c r="AC157" s="286">
        <f t="shared" si="27"/>
        <v>-56.09001917214573</v>
      </c>
      <c r="AD157" s="286">
        <f t="shared" si="27"/>
        <v>90.909980827854497</v>
      </c>
      <c r="AE157" s="286">
        <f t="shared" si="27"/>
        <v>237.9099808278545</v>
      </c>
      <c r="AG157" s="288">
        <v>0.35</v>
      </c>
      <c r="AH157" s="286">
        <f t="shared" si="29"/>
        <v>-2452.9800383442912</v>
      </c>
      <c r="AI157" s="286">
        <f t="shared" si="29"/>
        <v>-2352.180038344291</v>
      </c>
      <c r="AJ157" s="286">
        <f t="shared" si="29"/>
        <v>-2240.180038344291</v>
      </c>
      <c r="AK157" s="286">
        <f t="shared" si="29"/>
        <v>-2128.180038344291</v>
      </c>
      <c r="AL157" s="286">
        <f t="shared" si="29"/>
        <v>-2016.180038344291</v>
      </c>
      <c r="AM157" s="286">
        <f t="shared" si="29"/>
        <v>-1904.180038344291</v>
      </c>
      <c r="AN157" s="286">
        <f t="shared" si="29"/>
        <v>-1792.180038344291</v>
      </c>
      <c r="AO157" s="286">
        <f t="shared" si="29"/>
        <v>-1680.180038344291</v>
      </c>
      <c r="AP157" s="286">
        <f t="shared" si="29"/>
        <v>-1568.180038344291</v>
      </c>
      <c r="AQ157" s="286">
        <f t="shared" si="29"/>
        <v>-1456.180038344291</v>
      </c>
      <c r="AR157" s="286">
        <f t="shared" si="29"/>
        <v>-1344.180038344291</v>
      </c>
    </row>
    <row r="158" spans="7:44" hidden="1" outlineLevel="1" x14ac:dyDescent="0.25">
      <c r="G158" s="288">
        <v>0.4</v>
      </c>
      <c r="H158" s="286">
        <f t="shared" si="26"/>
        <v>-2447.3800383442908</v>
      </c>
      <c r="I158" s="286">
        <f t="shared" si="26"/>
        <v>-2296.180038344291</v>
      </c>
      <c r="J158" s="286">
        <f t="shared" si="26"/>
        <v>-2128.180038344291</v>
      </c>
      <c r="K158" s="286">
        <f t="shared" si="26"/>
        <v>-1960.180038344291</v>
      </c>
      <c r="L158" s="286">
        <f t="shared" si="26"/>
        <v>-1792.180038344291</v>
      </c>
      <c r="M158" s="286">
        <f t="shared" si="26"/>
        <v>-1624.180038344291</v>
      </c>
      <c r="N158" s="286">
        <f t="shared" si="26"/>
        <v>-1456.180038344291</v>
      </c>
      <c r="O158" s="286">
        <f t="shared" si="26"/>
        <v>-1288.1800383442912</v>
      </c>
      <c r="P158" s="286">
        <f t="shared" si="26"/>
        <v>-1120.1800383442908</v>
      </c>
      <c r="Q158" s="286">
        <f t="shared" si="26"/>
        <v>-952.18003834429078</v>
      </c>
      <c r="R158" s="286">
        <f t="shared" si="26"/>
        <v>-784.18003834429101</v>
      </c>
      <c r="T158" s="288">
        <v>0.4</v>
      </c>
      <c r="U158" s="286">
        <f t="shared" si="27"/>
        <v>-1215.2900191721455</v>
      </c>
      <c r="V158" s="286">
        <f t="shared" si="27"/>
        <v>-1064.0900191721455</v>
      </c>
      <c r="W158" s="286">
        <f t="shared" si="27"/>
        <v>-896.0900191721455</v>
      </c>
      <c r="X158" s="286">
        <f t="shared" si="27"/>
        <v>-728.0900191721455</v>
      </c>
      <c r="Y158" s="286">
        <f t="shared" si="27"/>
        <v>-560.09001917214539</v>
      </c>
      <c r="Z158" s="286">
        <f t="shared" si="27"/>
        <v>-392.0900191721455</v>
      </c>
      <c r="AA158" s="286">
        <f t="shared" si="27"/>
        <v>-224.0900191721455</v>
      </c>
      <c r="AB158" s="286">
        <f t="shared" si="27"/>
        <v>-56.09001917214573</v>
      </c>
      <c r="AC158" s="286">
        <f t="shared" si="27"/>
        <v>111.90998082785472</v>
      </c>
      <c r="AD158" s="286">
        <f t="shared" si="27"/>
        <v>279.90998082785472</v>
      </c>
      <c r="AE158" s="286">
        <f t="shared" si="27"/>
        <v>447.9099808278545</v>
      </c>
      <c r="AG158" s="288">
        <v>0.4</v>
      </c>
      <c r="AH158" s="286">
        <f t="shared" si="29"/>
        <v>-2451.3800383442908</v>
      </c>
      <c r="AI158" s="286">
        <f t="shared" si="29"/>
        <v>-2336.180038344291</v>
      </c>
      <c r="AJ158" s="286">
        <f t="shared" si="29"/>
        <v>-2208.180038344291</v>
      </c>
      <c r="AK158" s="286">
        <f t="shared" si="29"/>
        <v>-2080.180038344291</v>
      </c>
      <c r="AL158" s="286">
        <f t="shared" si="29"/>
        <v>-1952.180038344291</v>
      </c>
      <c r="AM158" s="286">
        <f t="shared" si="29"/>
        <v>-1824.180038344291</v>
      </c>
      <c r="AN158" s="286">
        <f t="shared" si="29"/>
        <v>-1696.180038344291</v>
      </c>
      <c r="AO158" s="286">
        <f t="shared" si="29"/>
        <v>-1568.180038344291</v>
      </c>
      <c r="AP158" s="286">
        <f t="shared" si="29"/>
        <v>-1440.1800383442908</v>
      </c>
      <c r="AQ158" s="286">
        <f t="shared" si="29"/>
        <v>-1312.1800383442908</v>
      </c>
      <c r="AR158" s="286">
        <f t="shared" si="29"/>
        <v>-1184.180038344291</v>
      </c>
    </row>
    <row r="159" spans="7:44" hidden="1" outlineLevel="1" x14ac:dyDescent="0.25">
      <c r="G159" s="288">
        <v>0.45</v>
      </c>
      <c r="H159" s="286">
        <f t="shared" si="26"/>
        <v>-2445.2800383442909</v>
      </c>
      <c r="I159" s="286">
        <f t="shared" si="26"/>
        <v>-2275.180038344291</v>
      </c>
      <c r="J159" s="286">
        <f t="shared" si="26"/>
        <v>-2086.180038344291</v>
      </c>
      <c r="K159" s="286">
        <f t="shared" si="26"/>
        <v>-1897.180038344291</v>
      </c>
      <c r="L159" s="286">
        <f t="shared" si="26"/>
        <v>-1708.180038344291</v>
      </c>
      <c r="M159" s="286">
        <f t="shared" si="26"/>
        <v>-1519.180038344291</v>
      </c>
      <c r="N159" s="286">
        <f t="shared" si="26"/>
        <v>-1330.180038344291</v>
      </c>
      <c r="O159" s="286">
        <f t="shared" si="26"/>
        <v>-1141.180038344291</v>
      </c>
      <c r="P159" s="286">
        <f t="shared" si="26"/>
        <v>-952.18003834429078</v>
      </c>
      <c r="Q159" s="286">
        <f t="shared" si="26"/>
        <v>-763.18003834429101</v>
      </c>
      <c r="R159" s="286">
        <f t="shared" si="26"/>
        <v>-574.18003834429101</v>
      </c>
      <c r="T159" s="288">
        <v>0.45</v>
      </c>
      <c r="U159" s="286">
        <f t="shared" si="27"/>
        <v>-1213.1900191721454</v>
      </c>
      <c r="V159" s="286">
        <f t="shared" si="27"/>
        <v>-1043.0900191721455</v>
      </c>
      <c r="W159" s="286">
        <f t="shared" si="27"/>
        <v>-854.0900191721455</v>
      </c>
      <c r="X159" s="286">
        <f t="shared" si="27"/>
        <v>-665.0900191721455</v>
      </c>
      <c r="Y159" s="286">
        <f t="shared" si="27"/>
        <v>-476.09001917214539</v>
      </c>
      <c r="Z159" s="286">
        <f t="shared" si="27"/>
        <v>-287.0900191721455</v>
      </c>
      <c r="AA159" s="286">
        <f t="shared" si="27"/>
        <v>-98.090019172145503</v>
      </c>
      <c r="AB159" s="286">
        <f t="shared" si="27"/>
        <v>90.909980827854497</v>
      </c>
      <c r="AC159" s="286">
        <f t="shared" si="27"/>
        <v>279.90998082785472</v>
      </c>
      <c r="AD159" s="286">
        <f t="shared" si="27"/>
        <v>468.9099808278545</v>
      </c>
      <c r="AE159" s="286">
        <f t="shared" si="27"/>
        <v>657.9099808278545</v>
      </c>
      <c r="AG159" s="288">
        <v>0.45</v>
      </c>
      <c r="AH159" s="286">
        <f t="shared" si="29"/>
        <v>-2449.7800383442909</v>
      </c>
      <c r="AI159" s="286">
        <f t="shared" si="29"/>
        <v>-2320.180038344291</v>
      </c>
      <c r="AJ159" s="286">
        <f t="shared" si="29"/>
        <v>-2176.180038344291</v>
      </c>
      <c r="AK159" s="286">
        <f t="shared" si="29"/>
        <v>-2032.180038344291</v>
      </c>
      <c r="AL159" s="286">
        <f t="shared" si="29"/>
        <v>-1888.180038344291</v>
      </c>
      <c r="AM159" s="286">
        <f t="shared" si="29"/>
        <v>-1744.180038344291</v>
      </c>
      <c r="AN159" s="286">
        <f t="shared" si="29"/>
        <v>-1600.180038344291</v>
      </c>
      <c r="AO159" s="286">
        <f t="shared" si="29"/>
        <v>-1456.180038344291</v>
      </c>
      <c r="AP159" s="286">
        <f t="shared" si="29"/>
        <v>-1312.1800383442908</v>
      </c>
      <c r="AQ159" s="286">
        <f t="shared" si="29"/>
        <v>-1168.180038344291</v>
      </c>
      <c r="AR159" s="286">
        <f t="shared" si="29"/>
        <v>-1024.180038344291</v>
      </c>
    </row>
    <row r="160" spans="7:44" collapsed="1" x14ac:dyDescent="0.25">
      <c r="G160" s="288">
        <v>0.5</v>
      </c>
      <c r="H160" s="286">
        <f t="shared" ref="H160:R170" si="30">(((H$148*$G160)*($C$21+$C$23))-($C$29-($C$29*$C$31)))</f>
        <v>-2443.180038344291</v>
      </c>
      <c r="I160" s="286">
        <f t="shared" si="30"/>
        <v>-2254.180038344291</v>
      </c>
      <c r="J160" s="286">
        <f t="shared" si="30"/>
        <v>-2044.180038344291</v>
      </c>
      <c r="K160" s="286">
        <f t="shared" si="30"/>
        <v>-1834.180038344291</v>
      </c>
      <c r="L160" s="286">
        <f t="shared" si="30"/>
        <v>-1624.180038344291</v>
      </c>
      <c r="M160" s="286">
        <f t="shared" si="30"/>
        <v>-1414.180038344291</v>
      </c>
      <c r="N160" s="286">
        <f t="shared" si="30"/>
        <v>-1204.180038344291</v>
      </c>
      <c r="O160" s="286">
        <f t="shared" si="30"/>
        <v>-994.18003834429101</v>
      </c>
      <c r="P160" s="286">
        <f t="shared" si="30"/>
        <v>-784.18003834429101</v>
      </c>
      <c r="Q160" s="286">
        <f t="shared" si="30"/>
        <v>-574.18003834429101</v>
      </c>
      <c r="R160" s="286">
        <f t="shared" si="30"/>
        <v>-364.18003834429101</v>
      </c>
      <c r="T160" s="288">
        <v>0.5</v>
      </c>
      <c r="U160" s="286">
        <f t="shared" ref="U160:AE170" si="31">(((U$148*$T160)*($C$21+$C$23))-($C$29-($C$29*$C$32)))</f>
        <v>-1211.0900191721455</v>
      </c>
      <c r="V160" s="286">
        <f t="shared" si="31"/>
        <v>-1022.0900191721455</v>
      </c>
      <c r="W160" s="286">
        <f t="shared" si="31"/>
        <v>-812.0900191721455</v>
      </c>
      <c r="X160" s="286">
        <f t="shared" si="31"/>
        <v>-602.0900191721455</v>
      </c>
      <c r="Y160" s="286">
        <f t="shared" si="31"/>
        <v>-392.0900191721455</v>
      </c>
      <c r="Z160" s="286">
        <f t="shared" si="31"/>
        <v>-182.0900191721455</v>
      </c>
      <c r="AA160" s="286">
        <f t="shared" si="31"/>
        <v>27.909980827854497</v>
      </c>
      <c r="AB160" s="286">
        <f t="shared" si="31"/>
        <v>237.9099808278545</v>
      </c>
      <c r="AC160" s="286">
        <f t="shared" si="31"/>
        <v>447.9099808278545</v>
      </c>
      <c r="AD160" s="286">
        <f t="shared" si="31"/>
        <v>657.9099808278545</v>
      </c>
      <c r="AE160" s="286">
        <f t="shared" si="31"/>
        <v>867.9099808278545</v>
      </c>
      <c r="AG160" s="288">
        <v>0.5</v>
      </c>
      <c r="AH160" s="286">
        <f t="shared" si="29"/>
        <v>-2448.180038344291</v>
      </c>
      <c r="AI160" s="286">
        <f t="shared" si="29"/>
        <v>-2304.180038344291</v>
      </c>
      <c r="AJ160" s="286">
        <f t="shared" si="29"/>
        <v>-2144.180038344291</v>
      </c>
      <c r="AK160" s="286">
        <f t="shared" si="29"/>
        <v>-1984.180038344291</v>
      </c>
      <c r="AL160" s="286">
        <f t="shared" si="29"/>
        <v>-1824.180038344291</v>
      </c>
      <c r="AM160" s="286">
        <f t="shared" si="29"/>
        <v>-1664.180038344291</v>
      </c>
      <c r="AN160" s="286">
        <f t="shared" si="29"/>
        <v>-1504.180038344291</v>
      </c>
      <c r="AO160" s="286">
        <f t="shared" si="29"/>
        <v>-1344.180038344291</v>
      </c>
      <c r="AP160" s="286">
        <f t="shared" si="29"/>
        <v>-1184.180038344291</v>
      </c>
      <c r="AQ160" s="286">
        <f t="shared" si="29"/>
        <v>-1024.180038344291</v>
      </c>
      <c r="AR160" s="286">
        <f t="shared" si="29"/>
        <v>-864.18003834429101</v>
      </c>
    </row>
    <row r="161" spans="7:44" x14ac:dyDescent="0.25">
      <c r="G161" s="288">
        <v>0.55000000000000004</v>
      </c>
      <c r="H161" s="286">
        <f t="shared" si="30"/>
        <v>-2441.0800383442911</v>
      </c>
      <c r="I161" s="286">
        <f t="shared" si="30"/>
        <v>-2233.180038344291</v>
      </c>
      <c r="J161" s="286">
        <f t="shared" si="30"/>
        <v>-2002.180038344291</v>
      </c>
      <c r="K161" s="286">
        <f t="shared" si="30"/>
        <v>-1771.180038344291</v>
      </c>
      <c r="L161" s="286">
        <f t="shared" si="30"/>
        <v>-1540.180038344291</v>
      </c>
      <c r="M161" s="286">
        <f t="shared" si="30"/>
        <v>-1309.180038344291</v>
      </c>
      <c r="N161" s="286">
        <f t="shared" si="30"/>
        <v>-1078.180038344291</v>
      </c>
      <c r="O161" s="286">
        <f t="shared" si="30"/>
        <v>-847.18003834429101</v>
      </c>
      <c r="P161" s="286">
        <f t="shared" si="30"/>
        <v>-616.18003834429078</v>
      </c>
      <c r="Q161" s="286">
        <f t="shared" si="30"/>
        <v>-385.18003834429101</v>
      </c>
      <c r="R161" s="286">
        <f t="shared" si="30"/>
        <v>-154.18003834429101</v>
      </c>
      <c r="T161" s="288">
        <v>0.55000000000000004</v>
      </c>
      <c r="U161" s="286">
        <f t="shared" si="31"/>
        <v>-1208.9900191721456</v>
      </c>
      <c r="V161" s="286">
        <f t="shared" si="31"/>
        <v>-1001.0900191721455</v>
      </c>
      <c r="W161" s="286">
        <f t="shared" si="31"/>
        <v>-770.0900191721455</v>
      </c>
      <c r="X161" s="286">
        <f t="shared" si="31"/>
        <v>-539.0900191721455</v>
      </c>
      <c r="Y161" s="286">
        <f t="shared" si="31"/>
        <v>-308.09001917214539</v>
      </c>
      <c r="Z161" s="286">
        <f t="shared" si="31"/>
        <v>-77.090019172145503</v>
      </c>
      <c r="AA161" s="286">
        <f t="shared" si="31"/>
        <v>153.9099808278545</v>
      </c>
      <c r="AB161" s="286">
        <f t="shared" si="31"/>
        <v>384.9099808278545</v>
      </c>
      <c r="AC161" s="286">
        <f t="shared" si="31"/>
        <v>615.90998082785472</v>
      </c>
      <c r="AD161" s="286">
        <f t="shared" si="31"/>
        <v>846.9099808278545</v>
      </c>
      <c r="AE161" s="286">
        <f t="shared" si="31"/>
        <v>1077.9099808278545</v>
      </c>
      <c r="AG161" s="288">
        <v>0.55000000000000004</v>
      </c>
      <c r="AH161" s="286">
        <f t="shared" si="29"/>
        <v>-2446.5800383442911</v>
      </c>
      <c r="AI161" s="286">
        <f t="shared" si="29"/>
        <v>-2288.180038344291</v>
      </c>
      <c r="AJ161" s="286">
        <f t="shared" si="29"/>
        <v>-2112.180038344291</v>
      </c>
      <c r="AK161" s="286">
        <f t="shared" si="29"/>
        <v>-1936.180038344291</v>
      </c>
      <c r="AL161" s="286">
        <f t="shared" si="29"/>
        <v>-1760.180038344291</v>
      </c>
      <c r="AM161" s="286">
        <f t="shared" si="29"/>
        <v>-1584.180038344291</v>
      </c>
      <c r="AN161" s="286">
        <f t="shared" si="29"/>
        <v>-1408.180038344291</v>
      </c>
      <c r="AO161" s="286">
        <f t="shared" si="29"/>
        <v>-1232.180038344291</v>
      </c>
      <c r="AP161" s="286">
        <f t="shared" si="29"/>
        <v>-1056.1800383442908</v>
      </c>
      <c r="AQ161" s="286">
        <f t="shared" si="29"/>
        <v>-880.18003834429078</v>
      </c>
      <c r="AR161" s="286">
        <f t="shared" si="29"/>
        <v>-704.18003834429078</v>
      </c>
    </row>
    <row r="162" spans="7:44" x14ac:dyDescent="0.25">
      <c r="G162" s="288">
        <v>0.6</v>
      </c>
      <c r="H162" s="286">
        <f t="shared" si="30"/>
        <v>-2438.9800383442912</v>
      </c>
      <c r="I162" s="286">
        <f t="shared" si="30"/>
        <v>-2212.180038344291</v>
      </c>
      <c r="J162" s="286">
        <f t="shared" si="30"/>
        <v>-1960.180038344291</v>
      </c>
      <c r="K162" s="286">
        <f t="shared" si="30"/>
        <v>-1708.180038344291</v>
      </c>
      <c r="L162" s="286">
        <f t="shared" si="30"/>
        <v>-1456.180038344291</v>
      </c>
      <c r="M162" s="286">
        <f t="shared" si="30"/>
        <v>-1204.180038344291</v>
      </c>
      <c r="N162" s="286">
        <f t="shared" si="30"/>
        <v>-952.18003834429101</v>
      </c>
      <c r="O162" s="286">
        <f t="shared" si="30"/>
        <v>-700.18003834429101</v>
      </c>
      <c r="P162" s="286">
        <f t="shared" si="30"/>
        <v>-448.18003834429101</v>
      </c>
      <c r="Q162" s="286">
        <f t="shared" si="30"/>
        <v>-196.18003834429101</v>
      </c>
      <c r="R162" s="286">
        <f t="shared" si="30"/>
        <v>55.819961655708994</v>
      </c>
      <c r="T162" s="288">
        <v>0.6</v>
      </c>
      <c r="U162" s="286">
        <f t="shared" si="31"/>
        <v>-1206.8900191721455</v>
      </c>
      <c r="V162" s="286">
        <f t="shared" si="31"/>
        <v>-980.0900191721455</v>
      </c>
      <c r="W162" s="286">
        <f t="shared" si="31"/>
        <v>-728.0900191721455</v>
      </c>
      <c r="X162" s="286">
        <f t="shared" si="31"/>
        <v>-476.0900191721455</v>
      </c>
      <c r="Y162" s="286">
        <f t="shared" si="31"/>
        <v>-224.0900191721455</v>
      </c>
      <c r="Z162" s="286">
        <f t="shared" si="31"/>
        <v>27.909980827854497</v>
      </c>
      <c r="AA162" s="286">
        <f t="shared" si="31"/>
        <v>279.9099808278545</v>
      </c>
      <c r="AB162" s="286">
        <f t="shared" si="31"/>
        <v>531.9099808278545</v>
      </c>
      <c r="AC162" s="286">
        <f t="shared" si="31"/>
        <v>783.9099808278545</v>
      </c>
      <c r="AD162" s="286">
        <f t="shared" si="31"/>
        <v>1035.9099808278545</v>
      </c>
      <c r="AE162" s="286">
        <f t="shared" si="31"/>
        <v>1287.9099808278545</v>
      </c>
      <c r="AG162" s="288">
        <v>0.6</v>
      </c>
      <c r="AH162" s="286">
        <f t="shared" si="29"/>
        <v>-2444.9800383442912</v>
      </c>
      <c r="AI162" s="286">
        <f t="shared" si="29"/>
        <v>-2272.180038344291</v>
      </c>
      <c r="AJ162" s="286">
        <f t="shared" si="29"/>
        <v>-2080.180038344291</v>
      </c>
      <c r="AK162" s="286">
        <f t="shared" si="29"/>
        <v>-1888.180038344291</v>
      </c>
      <c r="AL162" s="286">
        <f t="shared" si="29"/>
        <v>-1696.180038344291</v>
      </c>
      <c r="AM162" s="286">
        <f t="shared" si="29"/>
        <v>-1504.180038344291</v>
      </c>
      <c r="AN162" s="286">
        <f t="shared" si="29"/>
        <v>-1312.180038344291</v>
      </c>
      <c r="AO162" s="286">
        <f t="shared" si="29"/>
        <v>-1120.180038344291</v>
      </c>
      <c r="AP162" s="286">
        <f t="shared" si="29"/>
        <v>-928.18003834429101</v>
      </c>
      <c r="AQ162" s="286">
        <f t="shared" si="29"/>
        <v>-736.18003834429101</v>
      </c>
      <c r="AR162" s="286">
        <f t="shared" si="29"/>
        <v>-544.18003834429101</v>
      </c>
    </row>
    <row r="163" spans="7:44" x14ac:dyDescent="0.25">
      <c r="G163" s="288">
        <v>0.65</v>
      </c>
      <c r="H163" s="286">
        <f t="shared" si="30"/>
        <v>-2436.8800383442908</v>
      </c>
      <c r="I163" s="286">
        <f t="shared" si="30"/>
        <v>-2191.180038344291</v>
      </c>
      <c r="J163" s="286">
        <f t="shared" si="30"/>
        <v>-1918.180038344291</v>
      </c>
      <c r="K163" s="286">
        <f t="shared" si="30"/>
        <v>-1645.180038344291</v>
      </c>
      <c r="L163" s="286">
        <f t="shared" si="30"/>
        <v>-1372.180038344291</v>
      </c>
      <c r="M163" s="286">
        <f t="shared" si="30"/>
        <v>-1099.180038344291</v>
      </c>
      <c r="N163" s="286">
        <f t="shared" si="30"/>
        <v>-826.18003834429101</v>
      </c>
      <c r="O163" s="286">
        <f t="shared" si="30"/>
        <v>-553.18003834429123</v>
      </c>
      <c r="P163" s="286">
        <f t="shared" si="30"/>
        <v>-280.18003834429101</v>
      </c>
      <c r="Q163" s="286">
        <f t="shared" si="30"/>
        <v>-7.1800383442905513</v>
      </c>
      <c r="R163" s="286">
        <f t="shared" si="30"/>
        <v>265.81996165570899</v>
      </c>
      <c r="T163" s="288">
        <v>0.65</v>
      </c>
      <c r="U163" s="286">
        <f t="shared" si="31"/>
        <v>-1204.7900191721455</v>
      </c>
      <c r="V163" s="286">
        <f t="shared" si="31"/>
        <v>-959.0900191721455</v>
      </c>
      <c r="W163" s="286">
        <f t="shared" si="31"/>
        <v>-686.0900191721455</v>
      </c>
      <c r="X163" s="286">
        <f t="shared" si="31"/>
        <v>-413.0900191721455</v>
      </c>
      <c r="Y163" s="286">
        <f t="shared" si="31"/>
        <v>-140.0900191721455</v>
      </c>
      <c r="Z163" s="286">
        <f t="shared" si="31"/>
        <v>132.9099808278545</v>
      </c>
      <c r="AA163" s="286">
        <f t="shared" si="31"/>
        <v>405.9099808278545</v>
      </c>
      <c r="AB163" s="286">
        <f t="shared" si="31"/>
        <v>678.90998082785427</v>
      </c>
      <c r="AC163" s="286">
        <f t="shared" si="31"/>
        <v>951.9099808278545</v>
      </c>
      <c r="AD163" s="286">
        <f t="shared" si="31"/>
        <v>1224.909980827855</v>
      </c>
      <c r="AE163" s="286">
        <f t="shared" si="31"/>
        <v>1497.9099808278545</v>
      </c>
      <c r="AG163" s="288">
        <v>0.65</v>
      </c>
      <c r="AH163" s="286">
        <f t="shared" si="29"/>
        <v>-2443.3800383442908</v>
      </c>
      <c r="AI163" s="286">
        <f t="shared" si="29"/>
        <v>-2256.180038344291</v>
      </c>
      <c r="AJ163" s="286">
        <f t="shared" si="29"/>
        <v>-2048.180038344291</v>
      </c>
      <c r="AK163" s="286">
        <f t="shared" si="29"/>
        <v>-1840.180038344291</v>
      </c>
      <c r="AL163" s="286">
        <f t="shared" si="29"/>
        <v>-1632.180038344291</v>
      </c>
      <c r="AM163" s="286">
        <f t="shared" si="29"/>
        <v>-1424.180038344291</v>
      </c>
      <c r="AN163" s="286">
        <f t="shared" si="29"/>
        <v>-1216.180038344291</v>
      </c>
      <c r="AO163" s="286">
        <f t="shared" si="29"/>
        <v>-1008.1800383442912</v>
      </c>
      <c r="AP163" s="286">
        <f t="shared" si="29"/>
        <v>-800.18003834429101</v>
      </c>
      <c r="AQ163" s="286">
        <f t="shared" si="29"/>
        <v>-592.18003834429078</v>
      </c>
      <c r="AR163" s="286">
        <f t="shared" si="29"/>
        <v>-384.18003834429101</v>
      </c>
    </row>
    <row r="164" spans="7:44" x14ac:dyDescent="0.25">
      <c r="G164" s="288">
        <v>0.7</v>
      </c>
      <c r="H164" s="286">
        <f t="shared" si="30"/>
        <v>-2434.7800383442909</v>
      </c>
      <c r="I164" s="286">
        <f t="shared" si="30"/>
        <v>-2170.180038344291</v>
      </c>
      <c r="J164" s="286">
        <f t="shared" si="30"/>
        <v>-1876.180038344291</v>
      </c>
      <c r="K164" s="286">
        <f t="shared" si="30"/>
        <v>-1582.180038344291</v>
      </c>
      <c r="L164" s="286">
        <f t="shared" si="30"/>
        <v>-1288.1800383442912</v>
      </c>
      <c r="M164" s="286">
        <f t="shared" si="30"/>
        <v>-994.18003834429101</v>
      </c>
      <c r="N164" s="286">
        <f t="shared" si="30"/>
        <v>-700.18003834429101</v>
      </c>
      <c r="O164" s="286">
        <f t="shared" si="30"/>
        <v>-406.18003834429146</v>
      </c>
      <c r="P164" s="286">
        <f t="shared" si="30"/>
        <v>-112.18003834429146</v>
      </c>
      <c r="Q164" s="286">
        <f t="shared" si="30"/>
        <v>181.81996165570899</v>
      </c>
      <c r="R164" s="286">
        <f t="shared" si="30"/>
        <v>475.81996165570899</v>
      </c>
      <c r="T164" s="288">
        <v>0.7</v>
      </c>
      <c r="U164" s="286">
        <f t="shared" si="31"/>
        <v>-1202.6900191721454</v>
      </c>
      <c r="V164" s="286">
        <f t="shared" si="31"/>
        <v>-938.0900191721455</v>
      </c>
      <c r="W164" s="286">
        <f t="shared" si="31"/>
        <v>-644.09001917214562</v>
      </c>
      <c r="X164" s="286">
        <f t="shared" si="31"/>
        <v>-350.0900191721455</v>
      </c>
      <c r="Y164" s="286">
        <f t="shared" si="31"/>
        <v>-56.09001917214573</v>
      </c>
      <c r="Z164" s="286">
        <f t="shared" si="31"/>
        <v>237.9099808278545</v>
      </c>
      <c r="AA164" s="286">
        <f t="shared" si="31"/>
        <v>531.9099808278545</v>
      </c>
      <c r="AB164" s="286">
        <f t="shared" si="31"/>
        <v>825.90998082785404</v>
      </c>
      <c r="AC164" s="286">
        <f t="shared" si="31"/>
        <v>1119.909980827854</v>
      </c>
      <c r="AD164" s="286">
        <f t="shared" si="31"/>
        <v>1413.9099808278545</v>
      </c>
      <c r="AE164" s="286">
        <f t="shared" si="31"/>
        <v>1707.9099808278545</v>
      </c>
      <c r="AG164" s="288">
        <v>0.7</v>
      </c>
      <c r="AH164" s="286">
        <f t="shared" si="29"/>
        <v>-2441.7800383442909</v>
      </c>
      <c r="AI164" s="286">
        <f t="shared" si="29"/>
        <v>-2240.180038344291</v>
      </c>
      <c r="AJ164" s="286">
        <f t="shared" si="29"/>
        <v>-2016.180038344291</v>
      </c>
      <c r="AK164" s="286">
        <f t="shared" si="29"/>
        <v>-1792.180038344291</v>
      </c>
      <c r="AL164" s="286">
        <f t="shared" si="29"/>
        <v>-1568.180038344291</v>
      </c>
      <c r="AM164" s="286">
        <f t="shared" si="29"/>
        <v>-1344.180038344291</v>
      </c>
      <c r="AN164" s="286">
        <f t="shared" si="29"/>
        <v>-1120.180038344291</v>
      </c>
      <c r="AO164" s="286">
        <f t="shared" si="29"/>
        <v>-896.18003834429123</v>
      </c>
      <c r="AP164" s="286">
        <f t="shared" si="29"/>
        <v>-672.18003834429123</v>
      </c>
      <c r="AQ164" s="286">
        <f t="shared" si="29"/>
        <v>-448.18003834429101</v>
      </c>
      <c r="AR164" s="286">
        <f t="shared" si="29"/>
        <v>-224.18003834429101</v>
      </c>
    </row>
    <row r="165" spans="7:44" x14ac:dyDescent="0.25">
      <c r="G165" s="288">
        <v>0.75</v>
      </c>
      <c r="H165" s="286">
        <f t="shared" si="30"/>
        <v>-2432.680038344291</v>
      </c>
      <c r="I165" s="286">
        <f t="shared" si="30"/>
        <v>-2149.180038344291</v>
      </c>
      <c r="J165" s="286">
        <f t="shared" si="30"/>
        <v>-1834.180038344291</v>
      </c>
      <c r="K165" s="286">
        <f t="shared" si="30"/>
        <v>-1519.180038344291</v>
      </c>
      <c r="L165" s="286">
        <f t="shared" si="30"/>
        <v>-1204.1800383442908</v>
      </c>
      <c r="M165" s="286">
        <f t="shared" si="30"/>
        <v>-889.18003834429101</v>
      </c>
      <c r="N165" s="286">
        <f t="shared" si="30"/>
        <v>-574.18003834429123</v>
      </c>
      <c r="O165" s="286">
        <f t="shared" si="30"/>
        <v>-259.18003834429146</v>
      </c>
      <c r="P165" s="286">
        <f t="shared" si="30"/>
        <v>55.819961655709449</v>
      </c>
      <c r="Q165" s="286">
        <f t="shared" si="30"/>
        <v>370.81996165570899</v>
      </c>
      <c r="R165" s="286">
        <f t="shared" si="30"/>
        <v>685.81996165570899</v>
      </c>
      <c r="T165" s="288">
        <v>0.75</v>
      </c>
      <c r="U165" s="286">
        <f t="shared" si="31"/>
        <v>-1200.5900191721455</v>
      </c>
      <c r="V165" s="286">
        <f t="shared" si="31"/>
        <v>-917.0900191721455</v>
      </c>
      <c r="W165" s="286">
        <f t="shared" si="31"/>
        <v>-602.09001917214539</v>
      </c>
      <c r="X165" s="286">
        <f t="shared" si="31"/>
        <v>-287.09001917214562</v>
      </c>
      <c r="Y165" s="286">
        <f t="shared" si="31"/>
        <v>27.909980827854724</v>
      </c>
      <c r="Z165" s="286">
        <f t="shared" si="31"/>
        <v>342.9099808278545</v>
      </c>
      <c r="AA165" s="286">
        <f t="shared" si="31"/>
        <v>657.90998082785427</v>
      </c>
      <c r="AB165" s="286">
        <f t="shared" si="31"/>
        <v>972.90998082785404</v>
      </c>
      <c r="AC165" s="286">
        <f t="shared" si="31"/>
        <v>1287.909980827855</v>
      </c>
      <c r="AD165" s="286">
        <f t="shared" si="31"/>
        <v>1602.9099808278545</v>
      </c>
      <c r="AE165" s="286">
        <f t="shared" si="31"/>
        <v>1917.9099808278545</v>
      </c>
      <c r="AG165" s="288">
        <v>0.75</v>
      </c>
      <c r="AH165" s="286">
        <f t="shared" si="29"/>
        <v>-2440.180038344291</v>
      </c>
      <c r="AI165" s="286">
        <f t="shared" si="29"/>
        <v>-2224.180038344291</v>
      </c>
      <c r="AJ165" s="286">
        <f t="shared" si="29"/>
        <v>-1984.180038344291</v>
      </c>
      <c r="AK165" s="286">
        <f t="shared" si="29"/>
        <v>-1744.180038344291</v>
      </c>
      <c r="AL165" s="286">
        <f t="shared" si="29"/>
        <v>-1504.180038344291</v>
      </c>
      <c r="AM165" s="286">
        <f t="shared" si="29"/>
        <v>-1264.180038344291</v>
      </c>
      <c r="AN165" s="286">
        <f t="shared" si="29"/>
        <v>-1024.1800383442912</v>
      </c>
      <c r="AO165" s="286">
        <f t="shared" si="29"/>
        <v>-784.18003834429123</v>
      </c>
      <c r="AP165" s="286">
        <f t="shared" si="29"/>
        <v>-544.18003834429078</v>
      </c>
      <c r="AQ165" s="286">
        <f t="shared" si="29"/>
        <v>-304.18003834429101</v>
      </c>
      <c r="AR165" s="286">
        <f t="shared" si="29"/>
        <v>-64.180038344291006</v>
      </c>
    </row>
    <row r="166" spans="7:44" x14ac:dyDescent="0.25">
      <c r="G166" s="288">
        <v>0.8</v>
      </c>
      <c r="H166" s="286">
        <f t="shared" si="30"/>
        <v>-2430.5800383442911</v>
      </c>
      <c r="I166" s="286">
        <f t="shared" si="30"/>
        <v>-2128.180038344291</v>
      </c>
      <c r="J166" s="286">
        <f t="shared" si="30"/>
        <v>-1792.180038344291</v>
      </c>
      <c r="K166" s="286">
        <f t="shared" si="30"/>
        <v>-1456.180038344291</v>
      </c>
      <c r="L166" s="286">
        <f t="shared" si="30"/>
        <v>-1120.1800383442908</v>
      </c>
      <c r="M166" s="286">
        <f t="shared" si="30"/>
        <v>-784.18003834429101</v>
      </c>
      <c r="N166" s="286">
        <f t="shared" si="30"/>
        <v>-448.18003834429101</v>
      </c>
      <c r="O166" s="286">
        <f t="shared" si="30"/>
        <v>-112.18003834429146</v>
      </c>
      <c r="P166" s="286">
        <f t="shared" si="30"/>
        <v>223.81996165570945</v>
      </c>
      <c r="Q166" s="286">
        <f t="shared" si="30"/>
        <v>559.81996165570945</v>
      </c>
      <c r="R166" s="286">
        <f t="shared" si="30"/>
        <v>895.81996165570899</v>
      </c>
      <c r="T166" s="288">
        <v>0.8</v>
      </c>
      <c r="U166" s="286">
        <f t="shared" si="31"/>
        <v>-1198.4900191721456</v>
      </c>
      <c r="V166" s="286">
        <f t="shared" si="31"/>
        <v>-896.0900191721455</v>
      </c>
      <c r="W166" s="286">
        <f t="shared" si="31"/>
        <v>-560.09001917214539</v>
      </c>
      <c r="X166" s="286">
        <f t="shared" si="31"/>
        <v>-224.0900191721455</v>
      </c>
      <c r="Y166" s="286">
        <f t="shared" si="31"/>
        <v>111.90998082785472</v>
      </c>
      <c r="Z166" s="286">
        <f t="shared" si="31"/>
        <v>447.9099808278545</v>
      </c>
      <c r="AA166" s="286">
        <f t="shared" si="31"/>
        <v>783.9099808278545</v>
      </c>
      <c r="AB166" s="286">
        <f t="shared" si="31"/>
        <v>1119.909980827854</v>
      </c>
      <c r="AC166" s="286">
        <f t="shared" si="31"/>
        <v>1455.909980827855</v>
      </c>
      <c r="AD166" s="286">
        <f t="shared" si="31"/>
        <v>1791.909980827855</v>
      </c>
      <c r="AE166" s="286">
        <f t="shared" si="31"/>
        <v>2127.9099808278543</v>
      </c>
      <c r="AG166" s="288">
        <v>0.8</v>
      </c>
      <c r="AH166" s="286">
        <f t="shared" si="29"/>
        <v>-2438.5800383442911</v>
      </c>
      <c r="AI166" s="286">
        <f t="shared" si="29"/>
        <v>-2208.180038344291</v>
      </c>
      <c r="AJ166" s="286">
        <f t="shared" si="29"/>
        <v>-1952.180038344291</v>
      </c>
      <c r="AK166" s="286">
        <f t="shared" si="29"/>
        <v>-1696.180038344291</v>
      </c>
      <c r="AL166" s="286">
        <f t="shared" si="29"/>
        <v>-1440.1800383442908</v>
      </c>
      <c r="AM166" s="286">
        <f t="shared" si="29"/>
        <v>-1184.180038344291</v>
      </c>
      <c r="AN166" s="286">
        <f t="shared" si="29"/>
        <v>-928.18003834429101</v>
      </c>
      <c r="AO166" s="286">
        <f t="shared" si="29"/>
        <v>-672.18003834429123</v>
      </c>
      <c r="AP166" s="286">
        <f t="shared" si="29"/>
        <v>-416.18003834429055</v>
      </c>
      <c r="AQ166" s="286">
        <f t="shared" si="29"/>
        <v>-160.18003834429055</v>
      </c>
      <c r="AR166" s="286">
        <f t="shared" si="29"/>
        <v>95.819961655708994</v>
      </c>
    </row>
    <row r="167" spans="7:44" x14ac:dyDescent="0.25">
      <c r="G167" s="288">
        <v>0.85</v>
      </c>
      <c r="H167" s="286">
        <f t="shared" si="30"/>
        <v>-2428.4800383442912</v>
      </c>
      <c r="I167" s="286">
        <f t="shared" si="30"/>
        <v>-2107.180038344291</v>
      </c>
      <c r="J167" s="286">
        <f t="shared" si="30"/>
        <v>-1750.180038344291</v>
      </c>
      <c r="K167" s="286">
        <f t="shared" si="30"/>
        <v>-1393.180038344291</v>
      </c>
      <c r="L167" s="286">
        <f t="shared" si="30"/>
        <v>-1036.180038344291</v>
      </c>
      <c r="M167" s="286">
        <f t="shared" si="30"/>
        <v>-679.18003834429101</v>
      </c>
      <c r="N167" s="286">
        <f t="shared" si="30"/>
        <v>-322.18003834429101</v>
      </c>
      <c r="O167" s="286">
        <f t="shared" si="30"/>
        <v>34.819961655708994</v>
      </c>
      <c r="P167" s="286">
        <f t="shared" si="30"/>
        <v>391.81996165570899</v>
      </c>
      <c r="Q167" s="286">
        <f t="shared" si="30"/>
        <v>748.81996165570899</v>
      </c>
      <c r="R167" s="286">
        <f t="shared" si="30"/>
        <v>1105.819961655709</v>
      </c>
      <c r="T167" s="288">
        <v>0.85</v>
      </c>
      <c r="U167" s="286">
        <f t="shared" si="31"/>
        <v>-1196.3900191721455</v>
      </c>
      <c r="V167" s="286">
        <f t="shared" si="31"/>
        <v>-875.0900191721455</v>
      </c>
      <c r="W167" s="286">
        <f t="shared" si="31"/>
        <v>-518.0900191721455</v>
      </c>
      <c r="X167" s="286">
        <f t="shared" si="31"/>
        <v>-161.0900191721455</v>
      </c>
      <c r="Y167" s="286">
        <f t="shared" si="31"/>
        <v>195.9099808278545</v>
      </c>
      <c r="Z167" s="286">
        <f t="shared" si="31"/>
        <v>552.9099808278545</v>
      </c>
      <c r="AA167" s="286">
        <f t="shared" si="31"/>
        <v>909.9099808278545</v>
      </c>
      <c r="AB167" s="286">
        <f t="shared" si="31"/>
        <v>1266.9099808278545</v>
      </c>
      <c r="AC167" s="286">
        <f t="shared" si="31"/>
        <v>1623.9099808278545</v>
      </c>
      <c r="AD167" s="286">
        <f t="shared" si="31"/>
        <v>1980.9099808278545</v>
      </c>
      <c r="AE167" s="286">
        <f t="shared" si="31"/>
        <v>2337.9099808278543</v>
      </c>
      <c r="AG167" s="288">
        <v>0.85</v>
      </c>
      <c r="AH167" s="286">
        <f t="shared" si="29"/>
        <v>-2436.9800383442912</v>
      </c>
      <c r="AI167" s="286">
        <f t="shared" si="29"/>
        <v>-2192.180038344291</v>
      </c>
      <c r="AJ167" s="286">
        <f t="shared" si="29"/>
        <v>-1920.180038344291</v>
      </c>
      <c r="AK167" s="286">
        <f t="shared" si="29"/>
        <v>-1648.180038344291</v>
      </c>
      <c r="AL167" s="286">
        <f t="shared" si="29"/>
        <v>-1376.180038344291</v>
      </c>
      <c r="AM167" s="286">
        <f t="shared" si="29"/>
        <v>-1104.180038344291</v>
      </c>
      <c r="AN167" s="286">
        <f t="shared" si="29"/>
        <v>-832.18003834429101</v>
      </c>
      <c r="AO167" s="286">
        <f t="shared" si="29"/>
        <v>-560.18003834429101</v>
      </c>
      <c r="AP167" s="286">
        <f t="shared" si="29"/>
        <v>-288.18003834429101</v>
      </c>
      <c r="AQ167" s="286">
        <f t="shared" si="29"/>
        <v>-16.180038344291006</v>
      </c>
      <c r="AR167" s="286">
        <f t="shared" si="29"/>
        <v>255.81996165570899</v>
      </c>
    </row>
    <row r="168" spans="7:44" x14ac:dyDescent="0.25">
      <c r="G168" s="288">
        <v>0.9</v>
      </c>
      <c r="H168" s="286">
        <f t="shared" si="30"/>
        <v>-2426.3800383442908</v>
      </c>
      <c r="I168" s="286">
        <f t="shared" si="30"/>
        <v>-2086.180038344291</v>
      </c>
      <c r="J168" s="286">
        <f t="shared" si="30"/>
        <v>-1708.180038344291</v>
      </c>
      <c r="K168" s="286">
        <f t="shared" si="30"/>
        <v>-1330.180038344291</v>
      </c>
      <c r="L168" s="286">
        <f t="shared" si="30"/>
        <v>-952.18003834429078</v>
      </c>
      <c r="M168" s="286">
        <f t="shared" si="30"/>
        <v>-574.18003834429101</v>
      </c>
      <c r="N168" s="286">
        <f t="shared" si="30"/>
        <v>-196.18003834429101</v>
      </c>
      <c r="O168" s="286">
        <f t="shared" si="30"/>
        <v>181.81996165570899</v>
      </c>
      <c r="P168" s="286">
        <f t="shared" si="30"/>
        <v>559.81996165570945</v>
      </c>
      <c r="Q168" s="286">
        <f t="shared" si="30"/>
        <v>937.81996165570899</v>
      </c>
      <c r="R168" s="286">
        <f t="shared" si="30"/>
        <v>1315.819961655709</v>
      </c>
      <c r="T168" s="288">
        <v>0.9</v>
      </c>
      <c r="U168" s="286">
        <f t="shared" si="31"/>
        <v>-1194.2900191721455</v>
      </c>
      <c r="V168" s="286">
        <f t="shared" si="31"/>
        <v>-854.0900191721455</v>
      </c>
      <c r="W168" s="286">
        <f t="shared" si="31"/>
        <v>-476.09001917214539</v>
      </c>
      <c r="X168" s="286">
        <f t="shared" si="31"/>
        <v>-98.090019172145503</v>
      </c>
      <c r="Y168" s="286">
        <f t="shared" si="31"/>
        <v>279.90998082785472</v>
      </c>
      <c r="Z168" s="286">
        <f t="shared" si="31"/>
        <v>657.9099808278545</v>
      </c>
      <c r="AA168" s="286">
        <f t="shared" si="31"/>
        <v>1035.9099808278545</v>
      </c>
      <c r="AB168" s="286">
        <f t="shared" si="31"/>
        <v>1413.9099808278545</v>
      </c>
      <c r="AC168" s="286">
        <f t="shared" si="31"/>
        <v>1791.909980827855</v>
      </c>
      <c r="AD168" s="286">
        <f t="shared" si="31"/>
        <v>2169.9099808278543</v>
      </c>
      <c r="AE168" s="286">
        <f t="shared" si="31"/>
        <v>2547.9099808278543</v>
      </c>
      <c r="AG168" s="288">
        <v>0.9</v>
      </c>
      <c r="AH168" s="286">
        <f t="shared" si="29"/>
        <v>-2435.3800383442908</v>
      </c>
      <c r="AI168" s="286">
        <f t="shared" si="29"/>
        <v>-2176.180038344291</v>
      </c>
      <c r="AJ168" s="286">
        <f t="shared" si="29"/>
        <v>-1888.180038344291</v>
      </c>
      <c r="AK168" s="286">
        <f t="shared" si="29"/>
        <v>-1600.180038344291</v>
      </c>
      <c r="AL168" s="286">
        <f t="shared" si="29"/>
        <v>-1312.1800383442908</v>
      </c>
      <c r="AM168" s="286">
        <f t="shared" si="29"/>
        <v>-1024.180038344291</v>
      </c>
      <c r="AN168" s="286">
        <f t="shared" si="29"/>
        <v>-736.18003834429101</v>
      </c>
      <c r="AO168" s="286">
        <f t="shared" si="29"/>
        <v>-448.18003834429101</v>
      </c>
      <c r="AP168" s="286">
        <f t="shared" si="29"/>
        <v>-160.18003834429055</v>
      </c>
      <c r="AQ168" s="286">
        <f t="shared" si="29"/>
        <v>127.81996165570899</v>
      </c>
      <c r="AR168" s="286">
        <f t="shared" si="29"/>
        <v>415.81996165570899</v>
      </c>
    </row>
    <row r="169" spans="7:44" x14ac:dyDescent="0.25">
      <c r="G169" s="288">
        <v>0.95</v>
      </c>
      <c r="H169" s="286">
        <f t="shared" si="30"/>
        <v>-2424.2800383442909</v>
      </c>
      <c r="I169" s="286">
        <f t="shared" si="30"/>
        <v>-2065.180038344291</v>
      </c>
      <c r="J169" s="286">
        <f t="shared" si="30"/>
        <v>-1666.180038344291</v>
      </c>
      <c r="K169" s="286">
        <f t="shared" si="30"/>
        <v>-1267.180038344291</v>
      </c>
      <c r="L169" s="286">
        <f t="shared" si="30"/>
        <v>-868.18003834429101</v>
      </c>
      <c r="M169" s="286">
        <f t="shared" si="30"/>
        <v>-469.18003834429101</v>
      </c>
      <c r="N169" s="286">
        <f t="shared" si="30"/>
        <v>-70.180038344291006</v>
      </c>
      <c r="O169" s="286">
        <f t="shared" si="30"/>
        <v>328.81996165570854</v>
      </c>
      <c r="P169" s="286">
        <f t="shared" si="30"/>
        <v>727.81996165570899</v>
      </c>
      <c r="Q169" s="286">
        <f t="shared" si="30"/>
        <v>1126.819961655709</v>
      </c>
      <c r="R169" s="286">
        <f t="shared" si="30"/>
        <v>1525.819961655709</v>
      </c>
      <c r="T169" s="288">
        <v>0.95</v>
      </c>
      <c r="U169" s="286">
        <f t="shared" si="31"/>
        <v>-1192.1900191721454</v>
      </c>
      <c r="V169" s="286">
        <f t="shared" si="31"/>
        <v>-833.0900191721455</v>
      </c>
      <c r="W169" s="286">
        <f t="shared" si="31"/>
        <v>-434.0900191721455</v>
      </c>
      <c r="X169" s="286">
        <f t="shared" si="31"/>
        <v>-35.090019172145503</v>
      </c>
      <c r="Y169" s="286">
        <f t="shared" si="31"/>
        <v>363.9099808278545</v>
      </c>
      <c r="Z169" s="286">
        <f t="shared" si="31"/>
        <v>762.9099808278545</v>
      </c>
      <c r="AA169" s="286">
        <f t="shared" si="31"/>
        <v>1161.9099808278545</v>
      </c>
      <c r="AB169" s="286">
        <f t="shared" si="31"/>
        <v>1560.909980827854</v>
      </c>
      <c r="AC169" s="286">
        <f t="shared" si="31"/>
        <v>1959.9099808278545</v>
      </c>
      <c r="AD169" s="286">
        <f t="shared" si="31"/>
        <v>2358.9099808278543</v>
      </c>
      <c r="AE169" s="286">
        <f t="shared" si="31"/>
        <v>2757.9099808278543</v>
      </c>
      <c r="AG169" s="288">
        <v>0.95</v>
      </c>
      <c r="AH169" s="286">
        <f t="shared" si="29"/>
        <v>-2433.7800383442909</v>
      </c>
      <c r="AI169" s="286">
        <f t="shared" si="29"/>
        <v>-2160.180038344291</v>
      </c>
      <c r="AJ169" s="286">
        <f t="shared" si="29"/>
        <v>-1856.180038344291</v>
      </c>
      <c r="AK169" s="286">
        <f t="shared" si="29"/>
        <v>-1552.180038344291</v>
      </c>
      <c r="AL169" s="286">
        <f t="shared" si="29"/>
        <v>-1248.180038344291</v>
      </c>
      <c r="AM169" s="286">
        <f t="shared" si="29"/>
        <v>-944.18003834429101</v>
      </c>
      <c r="AN169" s="286">
        <f t="shared" si="29"/>
        <v>-640.18003834429123</v>
      </c>
      <c r="AO169" s="286">
        <f t="shared" si="29"/>
        <v>-336.18003834429146</v>
      </c>
      <c r="AP169" s="286">
        <f t="shared" si="29"/>
        <v>-32.180038344291006</v>
      </c>
      <c r="AQ169" s="286">
        <f t="shared" si="29"/>
        <v>271.81996165570899</v>
      </c>
      <c r="AR169" s="286">
        <f t="shared" si="29"/>
        <v>575.81996165570899</v>
      </c>
    </row>
    <row r="170" spans="7:44" ht="15.75" thickBot="1" x14ac:dyDescent="0.3">
      <c r="G170" s="287">
        <v>1</v>
      </c>
      <c r="H170" s="286">
        <f t="shared" si="30"/>
        <v>-2422.180038344291</v>
      </c>
      <c r="I170" s="286">
        <f t="shared" si="30"/>
        <v>-2044.180038344291</v>
      </c>
      <c r="J170" s="286">
        <f t="shared" si="30"/>
        <v>-1624.180038344291</v>
      </c>
      <c r="K170" s="286">
        <f t="shared" si="30"/>
        <v>-1204.180038344291</v>
      </c>
      <c r="L170" s="286">
        <f t="shared" si="30"/>
        <v>-784.18003834429101</v>
      </c>
      <c r="M170" s="286">
        <f t="shared" si="30"/>
        <v>-364.18003834429101</v>
      </c>
      <c r="N170" s="286">
        <f t="shared" si="30"/>
        <v>55.819961655708994</v>
      </c>
      <c r="O170" s="286">
        <f t="shared" si="30"/>
        <v>475.81996165570899</v>
      </c>
      <c r="P170" s="286">
        <f t="shared" si="30"/>
        <v>895.81996165570899</v>
      </c>
      <c r="Q170" s="286">
        <f t="shared" si="30"/>
        <v>1315.819961655709</v>
      </c>
      <c r="R170" s="286">
        <f t="shared" si="30"/>
        <v>1735.819961655709</v>
      </c>
      <c r="T170" s="287">
        <v>1</v>
      </c>
      <c r="U170" s="286">
        <f t="shared" si="31"/>
        <v>-1190.0900191721455</v>
      </c>
      <c r="V170" s="286">
        <f t="shared" si="31"/>
        <v>-812.0900191721455</v>
      </c>
      <c r="W170" s="286">
        <f t="shared" si="31"/>
        <v>-392.0900191721455</v>
      </c>
      <c r="X170" s="286">
        <f t="shared" si="31"/>
        <v>27.909980827854497</v>
      </c>
      <c r="Y170" s="286">
        <f t="shared" si="31"/>
        <v>447.9099808278545</v>
      </c>
      <c r="Z170" s="286">
        <f t="shared" si="31"/>
        <v>867.9099808278545</v>
      </c>
      <c r="AA170" s="286">
        <f t="shared" si="31"/>
        <v>1287.9099808278545</v>
      </c>
      <c r="AB170" s="286">
        <f t="shared" si="31"/>
        <v>1707.9099808278545</v>
      </c>
      <c r="AC170" s="286">
        <f t="shared" si="31"/>
        <v>2127.9099808278543</v>
      </c>
      <c r="AD170" s="286">
        <f t="shared" si="31"/>
        <v>2547.9099808278543</v>
      </c>
      <c r="AE170" s="286">
        <f t="shared" si="31"/>
        <v>2967.9099808278543</v>
      </c>
      <c r="AG170" s="287">
        <v>1</v>
      </c>
      <c r="AH170" s="286">
        <f t="shared" si="29"/>
        <v>-2432.180038344291</v>
      </c>
      <c r="AI170" s="286">
        <f t="shared" si="29"/>
        <v>-2144.180038344291</v>
      </c>
      <c r="AJ170" s="286">
        <f t="shared" si="29"/>
        <v>-1824.180038344291</v>
      </c>
      <c r="AK170" s="286">
        <f t="shared" si="29"/>
        <v>-1504.180038344291</v>
      </c>
      <c r="AL170" s="286">
        <f t="shared" si="29"/>
        <v>-1184.180038344291</v>
      </c>
      <c r="AM170" s="286">
        <f t="shared" si="29"/>
        <v>-864.18003834429101</v>
      </c>
      <c r="AN170" s="286">
        <f t="shared" si="29"/>
        <v>-544.18003834429101</v>
      </c>
      <c r="AO170" s="286">
        <f t="shared" si="29"/>
        <v>-224.18003834429101</v>
      </c>
      <c r="AP170" s="286">
        <f t="shared" si="29"/>
        <v>95.819961655708994</v>
      </c>
      <c r="AQ170" s="286">
        <f t="shared" si="29"/>
        <v>415.81996165570899</v>
      </c>
      <c r="AR170" s="286">
        <f t="shared" si="29"/>
        <v>735.81996165570899</v>
      </c>
    </row>
    <row r="174" spans="7:44" x14ac:dyDescent="0.25">
      <c r="G174" s="340" t="s">
        <v>284</v>
      </c>
      <c r="H174" s="340"/>
      <c r="I174" s="340"/>
      <c r="J174" s="340"/>
      <c r="K174" s="340"/>
      <c r="L174" s="340"/>
      <c r="M174" s="340"/>
      <c r="N174" s="340"/>
      <c r="O174" s="340"/>
      <c r="P174" s="340"/>
      <c r="Q174" s="340"/>
      <c r="R174" s="340"/>
    </row>
    <row r="175" spans="7:44" ht="15.75" thickBot="1" x14ac:dyDescent="0.3">
      <c r="G175" s="344"/>
      <c r="H175" s="344"/>
      <c r="I175" s="344"/>
      <c r="J175" s="344"/>
      <c r="K175" s="344"/>
      <c r="L175" s="344"/>
      <c r="M175" s="344"/>
      <c r="N175" s="344"/>
      <c r="O175" s="344"/>
      <c r="P175" s="344"/>
      <c r="Q175" s="344"/>
      <c r="R175" s="344"/>
    </row>
    <row r="176" spans="7:44" ht="15.75" thickBot="1" x14ac:dyDescent="0.3">
      <c r="G176" s="292" t="s">
        <v>282</v>
      </c>
      <c r="H176" s="291">
        <v>0.01</v>
      </c>
      <c r="I176" s="291">
        <v>0.1</v>
      </c>
      <c r="J176" s="291">
        <v>0.2</v>
      </c>
      <c r="K176" s="291">
        <v>0.3</v>
      </c>
      <c r="L176" s="291">
        <v>0.4</v>
      </c>
      <c r="M176" s="291">
        <v>0.5</v>
      </c>
      <c r="N176" s="291">
        <v>0.6</v>
      </c>
      <c r="O176" s="291">
        <v>0.7</v>
      </c>
      <c r="P176" s="291">
        <v>0.8</v>
      </c>
      <c r="Q176" s="291">
        <v>0.9</v>
      </c>
      <c r="R176" s="290">
        <v>1</v>
      </c>
    </row>
    <row r="177" spans="7:18" ht="30" x14ac:dyDescent="0.25">
      <c r="G177" s="289" t="s">
        <v>281</v>
      </c>
    </row>
    <row r="178" spans="7:18" x14ac:dyDescent="0.25">
      <c r="G178" s="288">
        <v>0</v>
      </c>
      <c r="H178" s="286">
        <f t="shared" ref="H178:R187" si="32">(((H$176*$G178)*($C$22+$C$23))-($C$29+$C$26))</f>
        <v>-3084.1121223636619</v>
      </c>
      <c r="I178" s="286">
        <f t="shared" si="32"/>
        <v>-3084.1121223636619</v>
      </c>
      <c r="J178" s="286">
        <f t="shared" si="32"/>
        <v>-3084.1121223636619</v>
      </c>
      <c r="K178" s="286">
        <f t="shared" si="32"/>
        <v>-3084.1121223636619</v>
      </c>
      <c r="L178" s="286">
        <f t="shared" si="32"/>
        <v>-3084.1121223636619</v>
      </c>
      <c r="M178" s="286">
        <f t="shared" si="32"/>
        <v>-3084.1121223636619</v>
      </c>
      <c r="N178" s="286">
        <f t="shared" si="32"/>
        <v>-3084.1121223636619</v>
      </c>
      <c r="O178" s="286">
        <f t="shared" si="32"/>
        <v>-3084.1121223636619</v>
      </c>
      <c r="P178" s="286">
        <f t="shared" si="32"/>
        <v>-3084.1121223636619</v>
      </c>
      <c r="Q178" s="286">
        <f t="shared" si="32"/>
        <v>-3084.1121223636619</v>
      </c>
      <c r="R178" s="286">
        <f t="shared" si="32"/>
        <v>-3084.1121223636619</v>
      </c>
    </row>
    <row r="179" spans="7:18" hidden="1" outlineLevel="1" x14ac:dyDescent="0.25">
      <c r="G179" s="288">
        <v>0.05</v>
      </c>
      <c r="H179" s="286">
        <f t="shared" si="32"/>
        <v>-3083.7121223636618</v>
      </c>
      <c r="I179" s="286">
        <f t="shared" si="32"/>
        <v>-3080.1121223636619</v>
      </c>
      <c r="J179" s="286">
        <f t="shared" si="32"/>
        <v>-3076.1121223636619</v>
      </c>
      <c r="K179" s="286">
        <f t="shared" si="32"/>
        <v>-3072.1121223636619</v>
      </c>
      <c r="L179" s="286">
        <f t="shared" si="32"/>
        <v>-3068.1121223636619</v>
      </c>
      <c r="M179" s="286">
        <f t="shared" si="32"/>
        <v>-3064.1121223636619</v>
      </c>
      <c r="N179" s="286">
        <f t="shared" si="32"/>
        <v>-3060.1121223636619</v>
      </c>
      <c r="O179" s="286">
        <f t="shared" si="32"/>
        <v>-3056.1121223636619</v>
      </c>
      <c r="P179" s="286">
        <f t="shared" si="32"/>
        <v>-3052.1121223636619</v>
      </c>
      <c r="Q179" s="286">
        <f t="shared" si="32"/>
        <v>-3048.1121223636619</v>
      </c>
      <c r="R179" s="286">
        <f t="shared" si="32"/>
        <v>-3044.1121223636619</v>
      </c>
    </row>
    <row r="180" spans="7:18" hidden="1" outlineLevel="1" x14ac:dyDescent="0.25">
      <c r="G180" s="288">
        <v>0.1</v>
      </c>
      <c r="H180" s="286">
        <f t="shared" si="32"/>
        <v>-3083.3121223636617</v>
      </c>
      <c r="I180" s="286">
        <f t="shared" si="32"/>
        <v>-3076.1121223636619</v>
      </c>
      <c r="J180" s="286">
        <f t="shared" si="32"/>
        <v>-3068.1121223636619</v>
      </c>
      <c r="K180" s="286">
        <f t="shared" si="32"/>
        <v>-3060.1121223636619</v>
      </c>
      <c r="L180" s="286">
        <f t="shared" si="32"/>
        <v>-3052.1121223636619</v>
      </c>
      <c r="M180" s="286">
        <f t="shared" si="32"/>
        <v>-3044.1121223636619</v>
      </c>
      <c r="N180" s="286">
        <f t="shared" si="32"/>
        <v>-3036.1121223636619</v>
      </c>
      <c r="O180" s="286">
        <f t="shared" si="32"/>
        <v>-3028.1121223636619</v>
      </c>
      <c r="P180" s="286">
        <f t="shared" si="32"/>
        <v>-3020.1121223636619</v>
      </c>
      <c r="Q180" s="286">
        <f t="shared" si="32"/>
        <v>-3012.1121223636619</v>
      </c>
      <c r="R180" s="286">
        <f t="shared" si="32"/>
        <v>-3004.1121223636619</v>
      </c>
    </row>
    <row r="181" spans="7:18" hidden="1" outlineLevel="1" x14ac:dyDescent="0.25">
      <c r="G181" s="288">
        <v>0.15</v>
      </c>
      <c r="H181" s="286">
        <f t="shared" si="32"/>
        <v>-3082.9121223636621</v>
      </c>
      <c r="I181" s="286">
        <f t="shared" si="32"/>
        <v>-3072.1121223636619</v>
      </c>
      <c r="J181" s="286">
        <f t="shared" si="32"/>
        <v>-3060.1121223636619</v>
      </c>
      <c r="K181" s="286">
        <f t="shared" si="32"/>
        <v>-3048.1121223636619</v>
      </c>
      <c r="L181" s="286">
        <f t="shared" si="32"/>
        <v>-3036.1121223636619</v>
      </c>
      <c r="M181" s="286">
        <f t="shared" si="32"/>
        <v>-3024.1121223636619</v>
      </c>
      <c r="N181" s="286">
        <f t="shared" si="32"/>
        <v>-3012.1121223636619</v>
      </c>
      <c r="O181" s="286">
        <f t="shared" si="32"/>
        <v>-3000.1121223636619</v>
      </c>
      <c r="P181" s="286">
        <f t="shared" si="32"/>
        <v>-2988.1121223636619</v>
      </c>
      <c r="Q181" s="286">
        <f t="shared" si="32"/>
        <v>-2976.1121223636619</v>
      </c>
      <c r="R181" s="286">
        <f t="shared" si="32"/>
        <v>-2964.1121223636619</v>
      </c>
    </row>
    <row r="182" spans="7:18" hidden="1" outlineLevel="1" x14ac:dyDescent="0.25">
      <c r="G182" s="288">
        <v>0.2</v>
      </c>
      <c r="H182" s="286">
        <f t="shared" si="32"/>
        <v>-3082.512122363662</v>
      </c>
      <c r="I182" s="286">
        <f t="shared" si="32"/>
        <v>-3068.1121223636619</v>
      </c>
      <c r="J182" s="286">
        <f t="shared" si="32"/>
        <v>-3052.1121223636619</v>
      </c>
      <c r="K182" s="286">
        <f t="shared" si="32"/>
        <v>-3036.1121223636619</v>
      </c>
      <c r="L182" s="286">
        <f t="shared" si="32"/>
        <v>-3020.1121223636619</v>
      </c>
      <c r="M182" s="286">
        <f t="shared" si="32"/>
        <v>-3004.1121223636619</v>
      </c>
      <c r="N182" s="286">
        <f t="shared" si="32"/>
        <v>-2988.1121223636619</v>
      </c>
      <c r="O182" s="286">
        <f t="shared" si="32"/>
        <v>-2972.1121223636619</v>
      </c>
      <c r="P182" s="286">
        <f t="shared" si="32"/>
        <v>-2956.1121223636619</v>
      </c>
      <c r="Q182" s="286">
        <f t="shared" si="32"/>
        <v>-2940.1121223636619</v>
      </c>
      <c r="R182" s="286">
        <f t="shared" si="32"/>
        <v>-2924.1121223636619</v>
      </c>
    </row>
    <row r="183" spans="7:18" hidden="1" outlineLevel="1" x14ac:dyDescent="0.25">
      <c r="G183" s="288">
        <v>0.25</v>
      </c>
      <c r="H183" s="286">
        <f t="shared" si="32"/>
        <v>-3082.1121223636619</v>
      </c>
      <c r="I183" s="286">
        <f t="shared" si="32"/>
        <v>-3064.1121223636619</v>
      </c>
      <c r="J183" s="286">
        <f t="shared" si="32"/>
        <v>-3044.1121223636619</v>
      </c>
      <c r="K183" s="286">
        <f t="shared" si="32"/>
        <v>-3024.1121223636619</v>
      </c>
      <c r="L183" s="286">
        <f t="shared" si="32"/>
        <v>-3004.1121223636619</v>
      </c>
      <c r="M183" s="286">
        <f t="shared" si="32"/>
        <v>-2984.1121223636619</v>
      </c>
      <c r="N183" s="286">
        <f t="shared" si="32"/>
        <v>-2964.1121223636619</v>
      </c>
      <c r="O183" s="286">
        <f t="shared" si="32"/>
        <v>-2944.1121223636619</v>
      </c>
      <c r="P183" s="286">
        <f t="shared" si="32"/>
        <v>-2924.1121223636619</v>
      </c>
      <c r="Q183" s="286">
        <f t="shared" si="32"/>
        <v>-2904.1121223636619</v>
      </c>
      <c r="R183" s="286">
        <f t="shared" si="32"/>
        <v>-2884.1121223636619</v>
      </c>
    </row>
    <row r="184" spans="7:18" hidden="1" outlineLevel="1" x14ac:dyDescent="0.25">
      <c r="G184" s="288">
        <v>0.3</v>
      </c>
      <c r="H184" s="286">
        <f t="shared" si="32"/>
        <v>-3081.7121223636618</v>
      </c>
      <c r="I184" s="286">
        <f t="shared" si="32"/>
        <v>-3060.1121223636619</v>
      </c>
      <c r="J184" s="286">
        <f t="shared" si="32"/>
        <v>-3036.1121223636619</v>
      </c>
      <c r="K184" s="286">
        <f t="shared" si="32"/>
        <v>-3012.1121223636619</v>
      </c>
      <c r="L184" s="286">
        <f t="shared" si="32"/>
        <v>-2988.1121223636619</v>
      </c>
      <c r="M184" s="286">
        <f t="shared" si="32"/>
        <v>-2964.1121223636619</v>
      </c>
      <c r="N184" s="286">
        <f t="shared" si="32"/>
        <v>-2940.1121223636619</v>
      </c>
      <c r="O184" s="286">
        <f t="shared" si="32"/>
        <v>-2916.1121223636619</v>
      </c>
      <c r="P184" s="286">
        <f t="shared" si="32"/>
        <v>-2892.1121223636619</v>
      </c>
      <c r="Q184" s="286">
        <f t="shared" si="32"/>
        <v>-2868.1121223636619</v>
      </c>
      <c r="R184" s="286">
        <f t="shared" si="32"/>
        <v>-2844.1121223636619</v>
      </c>
    </row>
    <row r="185" spans="7:18" hidden="1" outlineLevel="1" x14ac:dyDescent="0.25">
      <c r="G185" s="288">
        <v>0.35</v>
      </c>
      <c r="H185" s="286">
        <f t="shared" si="32"/>
        <v>-3081.3121223636617</v>
      </c>
      <c r="I185" s="286">
        <f t="shared" si="32"/>
        <v>-3056.1121223636619</v>
      </c>
      <c r="J185" s="286">
        <f t="shared" si="32"/>
        <v>-3028.1121223636619</v>
      </c>
      <c r="K185" s="286">
        <f t="shared" si="32"/>
        <v>-3000.1121223636619</v>
      </c>
      <c r="L185" s="286">
        <f t="shared" si="32"/>
        <v>-2972.1121223636619</v>
      </c>
      <c r="M185" s="286">
        <f t="shared" si="32"/>
        <v>-2944.1121223636619</v>
      </c>
      <c r="N185" s="286">
        <f t="shared" si="32"/>
        <v>-2916.1121223636619</v>
      </c>
      <c r="O185" s="286">
        <f t="shared" si="32"/>
        <v>-2888.1121223636619</v>
      </c>
      <c r="P185" s="286">
        <f t="shared" si="32"/>
        <v>-2860.1121223636619</v>
      </c>
      <c r="Q185" s="286">
        <f t="shared" si="32"/>
        <v>-2832.1121223636619</v>
      </c>
      <c r="R185" s="286">
        <f t="shared" si="32"/>
        <v>-2804.1121223636619</v>
      </c>
    </row>
    <row r="186" spans="7:18" hidden="1" outlineLevel="1" x14ac:dyDescent="0.25">
      <c r="G186" s="288">
        <v>0.4</v>
      </c>
      <c r="H186" s="286">
        <f t="shared" si="32"/>
        <v>-3080.9121223636621</v>
      </c>
      <c r="I186" s="286">
        <f t="shared" si="32"/>
        <v>-3052.1121223636619</v>
      </c>
      <c r="J186" s="286">
        <f t="shared" si="32"/>
        <v>-3020.1121223636619</v>
      </c>
      <c r="K186" s="286">
        <f t="shared" si="32"/>
        <v>-2988.1121223636619</v>
      </c>
      <c r="L186" s="286">
        <f t="shared" si="32"/>
        <v>-2956.1121223636619</v>
      </c>
      <c r="M186" s="286">
        <f t="shared" si="32"/>
        <v>-2924.1121223636619</v>
      </c>
      <c r="N186" s="286">
        <f t="shared" si="32"/>
        <v>-2892.1121223636619</v>
      </c>
      <c r="O186" s="286">
        <f t="shared" si="32"/>
        <v>-2860.1121223636619</v>
      </c>
      <c r="P186" s="286">
        <f t="shared" si="32"/>
        <v>-2828.1121223636619</v>
      </c>
      <c r="Q186" s="286">
        <f t="shared" si="32"/>
        <v>-2796.1121223636619</v>
      </c>
      <c r="R186" s="286">
        <f t="shared" si="32"/>
        <v>-2764.1121223636619</v>
      </c>
    </row>
    <row r="187" spans="7:18" hidden="1" outlineLevel="1" x14ac:dyDescent="0.25">
      <c r="G187" s="288">
        <v>0.45</v>
      </c>
      <c r="H187" s="286">
        <f t="shared" si="32"/>
        <v>-3080.512122363662</v>
      </c>
      <c r="I187" s="286">
        <f t="shared" si="32"/>
        <v>-3048.1121223636619</v>
      </c>
      <c r="J187" s="286">
        <f t="shared" si="32"/>
        <v>-3012.1121223636619</v>
      </c>
      <c r="K187" s="286">
        <f t="shared" si="32"/>
        <v>-2976.1121223636619</v>
      </c>
      <c r="L187" s="286">
        <f t="shared" si="32"/>
        <v>-2940.1121223636619</v>
      </c>
      <c r="M187" s="286">
        <f t="shared" si="32"/>
        <v>-2904.1121223636619</v>
      </c>
      <c r="N187" s="286">
        <f t="shared" si="32"/>
        <v>-2868.1121223636619</v>
      </c>
      <c r="O187" s="286">
        <f t="shared" si="32"/>
        <v>-2832.1121223636619</v>
      </c>
      <c r="P187" s="286">
        <f t="shared" si="32"/>
        <v>-2796.1121223636619</v>
      </c>
      <c r="Q187" s="286">
        <f t="shared" si="32"/>
        <v>-2760.1121223636619</v>
      </c>
      <c r="R187" s="286">
        <f t="shared" si="32"/>
        <v>-2724.1121223636619</v>
      </c>
    </row>
    <row r="188" spans="7:18" collapsed="1" x14ac:dyDescent="0.25">
      <c r="G188" s="288">
        <v>0.5</v>
      </c>
      <c r="H188" s="286">
        <f t="shared" ref="H188:R198" si="33">(((H$176*$G188)*($C$22+$C$23))-($C$29+$C$26))</f>
        <v>-3080.1121223636619</v>
      </c>
      <c r="I188" s="286">
        <f t="shared" si="33"/>
        <v>-3044.1121223636619</v>
      </c>
      <c r="J188" s="286">
        <f t="shared" si="33"/>
        <v>-3004.1121223636619</v>
      </c>
      <c r="K188" s="286">
        <f t="shared" si="33"/>
        <v>-2964.1121223636619</v>
      </c>
      <c r="L188" s="286">
        <f t="shared" si="33"/>
        <v>-2924.1121223636619</v>
      </c>
      <c r="M188" s="286">
        <f t="shared" si="33"/>
        <v>-2884.1121223636619</v>
      </c>
      <c r="N188" s="286">
        <f t="shared" si="33"/>
        <v>-2844.1121223636619</v>
      </c>
      <c r="O188" s="286">
        <f t="shared" si="33"/>
        <v>-2804.1121223636619</v>
      </c>
      <c r="P188" s="286">
        <f t="shared" si="33"/>
        <v>-2764.1121223636619</v>
      </c>
      <c r="Q188" s="286">
        <f t="shared" si="33"/>
        <v>-2724.1121223636619</v>
      </c>
      <c r="R188" s="286">
        <f t="shared" si="33"/>
        <v>-2684.1121223636619</v>
      </c>
    </row>
    <row r="189" spans="7:18" x14ac:dyDescent="0.25">
      <c r="G189" s="288">
        <v>0.55000000000000004</v>
      </c>
      <c r="H189" s="286">
        <f t="shared" si="33"/>
        <v>-3079.7121223636618</v>
      </c>
      <c r="I189" s="286">
        <f t="shared" si="33"/>
        <v>-3040.1121223636619</v>
      </c>
      <c r="J189" s="286">
        <f t="shared" si="33"/>
        <v>-2996.1121223636619</v>
      </c>
      <c r="K189" s="286">
        <f t="shared" si="33"/>
        <v>-2952.1121223636619</v>
      </c>
      <c r="L189" s="286">
        <f t="shared" si="33"/>
        <v>-2908.1121223636619</v>
      </c>
      <c r="M189" s="286">
        <f t="shared" si="33"/>
        <v>-2864.1121223636619</v>
      </c>
      <c r="N189" s="286">
        <f t="shared" si="33"/>
        <v>-2820.1121223636619</v>
      </c>
      <c r="O189" s="286">
        <f t="shared" si="33"/>
        <v>-2776.1121223636619</v>
      </c>
      <c r="P189" s="286">
        <f t="shared" si="33"/>
        <v>-2732.1121223636619</v>
      </c>
      <c r="Q189" s="286">
        <f t="shared" si="33"/>
        <v>-2688.1121223636619</v>
      </c>
      <c r="R189" s="286">
        <f t="shared" si="33"/>
        <v>-2644.1121223636619</v>
      </c>
    </row>
    <row r="190" spans="7:18" x14ac:dyDescent="0.25">
      <c r="G190" s="288">
        <v>0.6</v>
      </c>
      <c r="H190" s="286">
        <f t="shared" si="33"/>
        <v>-3079.3121223636617</v>
      </c>
      <c r="I190" s="286">
        <f t="shared" si="33"/>
        <v>-3036.1121223636619</v>
      </c>
      <c r="J190" s="286">
        <f t="shared" si="33"/>
        <v>-2988.1121223636619</v>
      </c>
      <c r="K190" s="286">
        <f t="shared" si="33"/>
        <v>-2940.1121223636619</v>
      </c>
      <c r="L190" s="286">
        <f t="shared" si="33"/>
        <v>-2892.1121223636619</v>
      </c>
      <c r="M190" s="286">
        <f t="shared" si="33"/>
        <v>-2844.1121223636619</v>
      </c>
      <c r="N190" s="286">
        <f t="shared" si="33"/>
        <v>-2796.1121223636619</v>
      </c>
      <c r="O190" s="286">
        <f t="shared" si="33"/>
        <v>-2748.1121223636619</v>
      </c>
      <c r="P190" s="286">
        <f t="shared" si="33"/>
        <v>-2700.1121223636619</v>
      </c>
      <c r="Q190" s="286">
        <f t="shared" si="33"/>
        <v>-2652.1121223636619</v>
      </c>
      <c r="R190" s="286">
        <f t="shared" si="33"/>
        <v>-2604.1121223636619</v>
      </c>
    </row>
    <row r="191" spans="7:18" x14ac:dyDescent="0.25">
      <c r="G191" s="288">
        <v>0.65</v>
      </c>
      <c r="H191" s="286">
        <f t="shared" si="33"/>
        <v>-3078.9121223636621</v>
      </c>
      <c r="I191" s="286">
        <f t="shared" si="33"/>
        <v>-3032.1121223636619</v>
      </c>
      <c r="J191" s="286">
        <f t="shared" si="33"/>
        <v>-2980.1121223636619</v>
      </c>
      <c r="K191" s="286">
        <f t="shared" si="33"/>
        <v>-2928.1121223636619</v>
      </c>
      <c r="L191" s="286">
        <f t="shared" si="33"/>
        <v>-2876.1121223636619</v>
      </c>
      <c r="M191" s="286">
        <f t="shared" si="33"/>
        <v>-2824.1121223636619</v>
      </c>
      <c r="N191" s="286">
        <f t="shared" si="33"/>
        <v>-2772.1121223636619</v>
      </c>
      <c r="O191" s="286">
        <f t="shared" si="33"/>
        <v>-2720.1121223636619</v>
      </c>
      <c r="P191" s="286">
        <f t="shared" si="33"/>
        <v>-2668.1121223636619</v>
      </c>
      <c r="Q191" s="286">
        <f t="shared" si="33"/>
        <v>-2616.1121223636619</v>
      </c>
      <c r="R191" s="286">
        <f t="shared" si="33"/>
        <v>-2564.1121223636619</v>
      </c>
    </row>
    <row r="192" spans="7:18" x14ac:dyDescent="0.25">
      <c r="G192" s="288">
        <v>0.7</v>
      </c>
      <c r="H192" s="286">
        <f t="shared" si="33"/>
        <v>-3078.512122363662</v>
      </c>
      <c r="I192" s="286">
        <f t="shared" si="33"/>
        <v>-3028.1121223636619</v>
      </c>
      <c r="J192" s="286">
        <f t="shared" si="33"/>
        <v>-2972.1121223636619</v>
      </c>
      <c r="K192" s="286">
        <f t="shared" si="33"/>
        <v>-2916.1121223636619</v>
      </c>
      <c r="L192" s="286">
        <f t="shared" si="33"/>
        <v>-2860.1121223636619</v>
      </c>
      <c r="M192" s="286">
        <f t="shared" si="33"/>
        <v>-2804.1121223636619</v>
      </c>
      <c r="N192" s="286">
        <f t="shared" si="33"/>
        <v>-2748.1121223636619</v>
      </c>
      <c r="O192" s="286">
        <f t="shared" si="33"/>
        <v>-2692.1121223636619</v>
      </c>
      <c r="P192" s="286">
        <f t="shared" si="33"/>
        <v>-2636.1121223636619</v>
      </c>
      <c r="Q192" s="286">
        <f t="shared" si="33"/>
        <v>-2580.1121223636619</v>
      </c>
      <c r="R192" s="286">
        <f t="shared" si="33"/>
        <v>-2524.1121223636619</v>
      </c>
    </row>
    <row r="193" spans="7:18" x14ac:dyDescent="0.25">
      <c r="G193" s="288">
        <v>0.75</v>
      </c>
      <c r="H193" s="286">
        <f t="shared" si="33"/>
        <v>-3078.1121223636619</v>
      </c>
      <c r="I193" s="286">
        <f t="shared" si="33"/>
        <v>-3024.1121223636619</v>
      </c>
      <c r="J193" s="286">
        <f t="shared" si="33"/>
        <v>-2964.1121223636619</v>
      </c>
      <c r="K193" s="286">
        <f t="shared" si="33"/>
        <v>-2904.1121223636619</v>
      </c>
      <c r="L193" s="286">
        <f t="shared" si="33"/>
        <v>-2844.1121223636619</v>
      </c>
      <c r="M193" s="286">
        <f t="shared" si="33"/>
        <v>-2784.1121223636619</v>
      </c>
      <c r="N193" s="286">
        <f t="shared" si="33"/>
        <v>-2724.1121223636619</v>
      </c>
      <c r="O193" s="286">
        <f t="shared" si="33"/>
        <v>-2664.1121223636619</v>
      </c>
      <c r="P193" s="286">
        <f t="shared" si="33"/>
        <v>-2604.1121223636619</v>
      </c>
      <c r="Q193" s="286">
        <f t="shared" si="33"/>
        <v>-2544.1121223636619</v>
      </c>
      <c r="R193" s="286">
        <f t="shared" si="33"/>
        <v>-2484.1121223636619</v>
      </c>
    </row>
    <row r="194" spans="7:18" x14ac:dyDescent="0.25">
      <c r="G194" s="288">
        <v>0.8</v>
      </c>
      <c r="H194" s="286">
        <f t="shared" si="33"/>
        <v>-3077.7121223636618</v>
      </c>
      <c r="I194" s="286">
        <f t="shared" si="33"/>
        <v>-3020.1121223636619</v>
      </c>
      <c r="J194" s="286">
        <f t="shared" si="33"/>
        <v>-2956.1121223636619</v>
      </c>
      <c r="K194" s="286">
        <f t="shared" si="33"/>
        <v>-2892.1121223636619</v>
      </c>
      <c r="L194" s="286">
        <f t="shared" si="33"/>
        <v>-2828.1121223636619</v>
      </c>
      <c r="M194" s="286">
        <f t="shared" si="33"/>
        <v>-2764.1121223636619</v>
      </c>
      <c r="N194" s="286">
        <f t="shared" si="33"/>
        <v>-2700.1121223636619</v>
      </c>
      <c r="O194" s="286">
        <f t="shared" si="33"/>
        <v>-2636.1121223636619</v>
      </c>
      <c r="P194" s="286">
        <f t="shared" si="33"/>
        <v>-2572.1121223636619</v>
      </c>
      <c r="Q194" s="286">
        <f t="shared" si="33"/>
        <v>-2508.1121223636619</v>
      </c>
      <c r="R194" s="286">
        <f t="shared" si="33"/>
        <v>-2444.1121223636619</v>
      </c>
    </row>
    <row r="195" spans="7:18" x14ac:dyDescent="0.25">
      <c r="G195" s="288">
        <v>0.85</v>
      </c>
      <c r="H195" s="286">
        <f t="shared" si="33"/>
        <v>-3077.3121223636617</v>
      </c>
      <c r="I195" s="286">
        <f t="shared" si="33"/>
        <v>-3016.1121223636619</v>
      </c>
      <c r="J195" s="286">
        <f t="shared" si="33"/>
        <v>-2948.1121223636619</v>
      </c>
      <c r="K195" s="286">
        <f t="shared" si="33"/>
        <v>-2880.1121223636619</v>
      </c>
      <c r="L195" s="286">
        <f t="shared" si="33"/>
        <v>-2812.1121223636619</v>
      </c>
      <c r="M195" s="286">
        <f t="shared" si="33"/>
        <v>-2744.1121223636619</v>
      </c>
      <c r="N195" s="286">
        <f t="shared" si="33"/>
        <v>-2676.1121223636619</v>
      </c>
      <c r="O195" s="286">
        <f t="shared" si="33"/>
        <v>-2608.1121223636619</v>
      </c>
      <c r="P195" s="286">
        <f t="shared" si="33"/>
        <v>-2540.1121223636619</v>
      </c>
      <c r="Q195" s="286">
        <f t="shared" si="33"/>
        <v>-2472.1121223636619</v>
      </c>
      <c r="R195" s="286">
        <f t="shared" si="33"/>
        <v>-2404.1121223636619</v>
      </c>
    </row>
    <row r="196" spans="7:18" x14ac:dyDescent="0.25">
      <c r="G196" s="288">
        <v>0.9</v>
      </c>
      <c r="H196" s="286">
        <f t="shared" si="33"/>
        <v>-3076.9121223636621</v>
      </c>
      <c r="I196" s="286">
        <f t="shared" si="33"/>
        <v>-3012.1121223636619</v>
      </c>
      <c r="J196" s="286">
        <f t="shared" si="33"/>
        <v>-2940.1121223636619</v>
      </c>
      <c r="K196" s="286">
        <f t="shared" si="33"/>
        <v>-2868.1121223636619</v>
      </c>
      <c r="L196" s="286">
        <f t="shared" si="33"/>
        <v>-2796.1121223636619</v>
      </c>
      <c r="M196" s="286">
        <f t="shared" si="33"/>
        <v>-2724.1121223636619</v>
      </c>
      <c r="N196" s="286">
        <f t="shared" si="33"/>
        <v>-2652.1121223636619</v>
      </c>
      <c r="O196" s="286">
        <f t="shared" si="33"/>
        <v>-2580.1121223636619</v>
      </c>
      <c r="P196" s="286">
        <f t="shared" si="33"/>
        <v>-2508.1121223636619</v>
      </c>
      <c r="Q196" s="286">
        <f t="shared" si="33"/>
        <v>-2436.1121223636619</v>
      </c>
      <c r="R196" s="286">
        <f t="shared" si="33"/>
        <v>-2364.1121223636619</v>
      </c>
    </row>
    <row r="197" spans="7:18" x14ac:dyDescent="0.25">
      <c r="G197" s="288">
        <v>0.95</v>
      </c>
      <c r="H197" s="286">
        <f t="shared" si="33"/>
        <v>-3076.512122363662</v>
      </c>
      <c r="I197" s="286">
        <f t="shared" si="33"/>
        <v>-3008.1121223636619</v>
      </c>
      <c r="J197" s="286">
        <f t="shared" si="33"/>
        <v>-2932.1121223636619</v>
      </c>
      <c r="K197" s="286">
        <f t="shared" si="33"/>
        <v>-2856.1121223636619</v>
      </c>
      <c r="L197" s="286">
        <f t="shared" si="33"/>
        <v>-2780.1121223636619</v>
      </c>
      <c r="M197" s="286">
        <f t="shared" si="33"/>
        <v>-2704.1121223636619</v>
      </c>
      <c r="N197" s="286">
        <f t="shared" si="33"/>
        <v>-2628.1121223636619</v>
      </c>
      <c r="O197" s="286">
        <f t="shared" si="33"/>
        <v>-2552.1121223636619</v>
      </c>
      <c r="P197" s="286">
        <f t="shared" si="33"/>
        <v>-2476.1121223636619</v>
      </c>
      <c r="Q197" s="286">
        <f t="shared" si="33"/>
        <v>-2400.1121223636619</v>
      </c>
      <c r="R197" s="286">
        <f t="shared" si="33"/>
        <v>-2324.1121223636619</v>
      </c>
    </row>
    <row r="198" spans="7:18" ht="15.75" thickBot="1" x14ac:dyDescent="0.3">
      <c r="G198" s="287">
        <v>1</v>
      </c>
      <c r="H198" s="286">
        <f t="shared" si="33"/>
        <v>-3076.1121223636619</v>
      </c>
      <c r="I198" s="286">
        <f t="shared" si="33"/>
        <v>-3004.1121223636619</v>
      </c>
      <c r="J198" s="286">
        <f t="shared" si="33"/>
        <v>-2924.1121223636619</v>
      </c>
      <c r="K198" s="286">
        <f t="shared" si="33"/>
        <v>-2844.1121223636619</v>
      </c>
      <c r="L198" s="286">
        <f t="shared" si="33"/>
        <v>-2764.1121223636619</v>
      </c>
      <c r="M198" s="286">
        <f t="shared" si="33"/>
        <v>-2684.1121223636619</v>
      </c>
      <c r="N198" s="286">
        <f t="shared" si="33"/>
        <v>-2604.1121223636619</v>
      </c>
      <c r="O198" s="286">
        <f t="shared" si="33"/>
        <v>-2524.1121223636619</v>
      </c>
      <c r="P198" s="286">
        <f t="shared" si="33"/>
        <v>-2444.1121223636619</v>
      </c>
      <c r="Q198" s="286">
        <f t="shared" si="33"/>
        <v>-2364.1121223636619</v>
      </c>
      <c r="R198" s="286">
        <f t="shared" si="33"/>
        <v>-2284.1121223636619</v>
      </c>
    </row>
    <row r="202" spans="7:18" x14ac:dyDescent="0.25">
      <c r="G202" s="340" t="s">
        <v>283</v>
      </c>
      <c r="H202" s="340"/>
      <c r="I202" s="340"/>
      <c r="J202" s="340"/>
      <c r="K202" s="340"/>
      <c r="L202" s="340"/>
      <c r="M202" s="340"/>
      <c r="N202" s="340"/>
      <c r="O202" s="340"/>
      <c r="P202" s="340"/>
      <c r="Q202" s="340"/>
      <c r="R202" s="340"/>
    </row>
    <row r="203" spans="7:18" ht="15.75" thickBot="1" x14ac:dyDescent="0.3">
      <c r="G203" s="344"/>
      <c r="H203" s="344"/>
      <c r="I203" s="344"/>
      <c r="J203" s="344"/>
      <c r="K203" s="344"/>
      <c r="L203" s="344"/>
      <c r="M203" s="344"/>
      <c r="N203" s="344"/>
      <c r="O203" s="344"/>
      <c r="P203" s="344"/>
      <c r="Q203" s="344"/>
      <c r="R203" s="344"/>
    </row>
    <row r="204" spans="7:18" ht="15.75" thickBot="1" x14ac:dyDescent="0.3">
      <c r="G204" s="292" t="s">
        <v>282</v>
      </c>
      <c r="H204" s="291">
        <v>0.01</v>
      </c>
      <c r="I204" s="291">
        <v>0.1</v>
      </c>
      <c r="J204" s="291">
        <v>0.2</v>
      </c>
      <c r="K204" s="291">
        <v>0.3</v>
      </c>
      <c r="L204" s="291">
        <v>0.4</v>
      </c>
      <c r="M204" s="291">
        <v>0.5</v>
      </c>
      <c r="N204" s="291">
        <v>0.6</v>
      </c>
      <c r="O204" s="291">
        <v>0.7</v>
      </c>
      <c r="P204" s="291">
        <v>0.8</v>
      </c>
      <c r="Q204" s="291">
        <v>0.9</v>
      </c>
      <c r="R204" s="290">
        <v>1</v>
      </c>
    </row>
    <row r="205" spans="7:18" ht="30" x14ac:dyDescent="0.25">
      <c r="G205" s="289" t="s">
        <v>281</v>
      </c>
    </row>
    <row r="206" spans="7:18" x14ac:dyDescent="0.25">
      <c r="G206" s="288">
        <v>0</v>
      </c>
      <c r="H206" s="286">
        <f t="shared" ref="H206:R215" si="34">(((H$204*$G206)*($C$21+$C$23))-($C$25+$C$28))</f>
        <v>-2484.6891469009443</v>
      </c>
      <c r="I206" s="286">
        <f t="shared" si="34"/>
        <v>-2484.6891469009443</v>
      </c>
      <c r="J206" s="286">
        <f t="shared" si="34"/>
        <v>-2484.6891469009443</v>
      </c>
      <c r="K206" s="286">
        <f t="shared" si="34"/>
        <v>-2484.6891469009443</v>
      </c>
      <c r="L206" s="286">
        <f t="shared" si="34"/>
        <v>-2484.6891469009443</v>
      </c>
      <c r="M206" s="286">
        <f t="shared" si="34"/>
        <v>-2484.6891469009443</v>
      </c>
      <c r="N206" s="286">
        <f t="shared" si="34"/>
        <v>-2484.6891469009443</v>
      </c>
      <c r="O206" s="286">
        <f t="shared" si="34"/>
        <v>-2484.6891469009443</v>
      </c>
      <c r="P206" s="286">
        <f t="shared" si="34"/>
        <v>-2484.6891469009443</v>
      </c>
      <c r="Q206" s="286">
        <f t="shared" si="34"/>
        <v>-2484.6891469009443</v>
      </c>
      <c r="R206" s="286">
        <f t="shared" si="34"/>
        <v>-2484.6891469009443</v>
      </c>
    </row>
    <row r="207" spans="7:18" hidden="1" outlineLevel="1" x14ac:dyDescent="0.25">
      <c r="G207" s="288">
        <v>0.05</v>
      </c>
      <c r="H207" s="286">
        <f t="shared" si="34"/>
        <v>-2482.5891469009443</v>
      </c>
      <c r="I207" s="286">
        <f t="shared" si="34"/>
        <v>-2463.6891469009443</v>
      </c>
      <c r="J207" s="286">
        <f t="shared" si="34"/>
        <v>-2442.6891469009443</v>
      </c>
      <c r="K207" s="286">
        <f t="shared" si="34"/>
        <v>-2421.6891469009443</v>
      </c>
      <c r="L207" s="286">
        <f t="shared" si="34"/>
        <v>-2400.6891469009443</v>
      </c>
      <c r="M207" s="286">
        <f t="shared" si="34"/>
        <v>-2379.6891469009443</v>
      </c>
      <c r="N207" s="286">
        <f t="shared" si="34"/>
        <v>-2358.6891469009443</v>
      </c>
      <c r="O207" s="286">
        <f t="shared" si="34"/>
        <v>-2337.6891469009443</v>
      </c>
      <c r="P207" s="286">
        <f t="shared" si="34"/>
        <v>-2316.6891469009443</v>
      </c>
      <c r="Q207" s="286">
        <f t="shared" si="34"/>
        <v>-2295.6891469009443</v>
      </c>
      <c r="R207" s="286">
        <f t="shared" si="34"/>
        <v>-2274.6891469009443</v>
      </c>
    </row>
    <row r="208" spans="7:18" hidden="1" outlineLevel="1" x14ac:dyDescent="0.25">
      <c r="G208" s="288">
        <v>0.1</v>
      </c>
      <c r="H208" s="286">
        <f t="shared" si="34"/>
        <v>-2480.4891469009444</v>
      </c>
      <c r="I208" s="286">
        <f t="shared" si="34"/>
        <v>-2442.6891469009443</v>
      </c>
      <c r="J208" s="286">
        <f t="shared" si="34"/>
        <v>-2400.6891469009443</v>
      </c>
      <c r="K208" s="286">
        <f t="shared" si="34"/>
        <v>-2358.6891469009443</v>
      </c>
      <c r="L208" s="286">
        <f t="shared" si="34"/>
        <v>-2316.6891469009443</v>
      </c>
      <c r="M208" s="286">
        <f t="shared" si="34"/>
        <v>-2274.6891469009443</v>
      </c>
      <c r="N208" s="286">
        <f t="shared" si="34"/>
        <v>-2232.6891469009443</v>
      </c>
      <c r="O208" s="286">
        <f t="shared" si="34"/>
        <v>-2190.6891469009443</v>
      </c>
      <c r="P208" s="286">
        <f t="shared" si="34"/>
        <v>-2148.6891469009443</v>
      </c>
      <c r="Q208" s="286">
        <f t="shared" si="34"/>
        <v>-2106.6891469009443</v>
      </c>
      <c r="R208" s="286">
        <f t="shared" si="34"/>
        <v>-2064.6891469009443</v>
      </c>
    </row>
    <row r="209" spans="7:18" hidden="1" outlineLevel="1" x14ac:dyDescent="0.25">
      <c r="G209" s="288">
        <v>0.15</v>
      </c>
      <c r="H209" s="286">
        <f t="shared" si="34"/>
        <v>-2478.3891469009441</v>
      </c>
      <c r="I209" s="286">
        <f t="shared" si="34"/>
        <v>-2421.6891469009443</v>
      </c>
      <c r="J209" s="286">
        <f t="shared" si="34"/>
        <v>-2358.6891469009443</v>
      </c>
      <c r="K209" s="286">
        <f t="shared" si="34"/>
        <v>-2295.6891469009443</v>
      </c>
      <c r="L209" s="286">
        <f t="shared" si="34"/>
        <v>-2232.6891469009443</v>
      </c>
      <c r="M209" s="286">
        <f t="shared" si="34"/>
        <v>-2169.6891469009443</v>
      </c>
      <c r="N209" s="286">
        <f t="shared" si="34"/>
        <v>-2106.6891469009443</v>
      </c>
      <c r="O209" s="286">
        <f t="shared" si="34"/>
        <v>-2043.6891469009443</v>
      </c>
      <c r="P209" s="286">
        <f t="shared" si="34"/>
        <v>-1980.6891469009443</v>
      </c>
      <c r="Q209" s="286">
        <f t="shared" si="34"/>
        <v>-1917.6891469009443</v>
      </c>
      <c r="R209" s="286">
        <f t="shared" si="34"/>
        <v>-1854.6891469009443</v>
      </c>
    </row>
    <row r="210" spans="7:18" hidden="1" outlineLevel="1" x14ac:dyDescent="0.25">
      <c r="G210" s="288">
        <v>0.2</v>
      </c>
      <c r="H210" s="286">
        <f t="shared" si="34"/>
        <v>-2476.2891469009442</v>
      </c>
      <c r="I210" s="286">
        <f t="shared" si="34"/>
        <v>-2400.6891469009443</v>
      </c>
      <c r="J210" s="286">
        <f t="shared" si="34"/>
        <v>-2316.6891469009443</v>
      </c>
      <c r="K210" s="286">
        <f t="shared" si="34"/>
        <v>-2232.6891469009443</v>
      </c>
      <c r="L210" s="286">
        <f t="shared" si="34"/>
        <v>-2148.6891469009443</v>
      </c>
      <c r="M210" s="286">
        <f t="shared" si="34"/>
        <v>-2064.6891469009443</v>
      </c>
      <c r="N210" s="286">
        <f t="shared" si="34"/>
        <v>-1980.6891469009443</v>
      </c>
      <c r="O210" s="286">
        <f t="shared" si="34"/>
        <v>-1896.6891469009443</v>
      </c>
      <c r="P210" s="286">
        <f t="shared" si="34"/>
        <v>-1812.6891469009443</v>
      </c>
      <c r="Q210" s="286">
        <f t="shared" si="34"/>
        <v>-1728.6891469009443</v>
      </c>
      <c r="R210" s="286">
        <f t="shared" si="34"/>
        <v>-1644.6891469009443</v>
      </c>
    </row>
    <row r="211" spans="7:18" hidden="1" outlineLevel="1" x14ac:dyDescent="0.25">
      <c r="G211" s="288">
        <v>0.25</v>
      </c>
      <c r="H211" s="286">
        <f t="shared" si="34"/>
        <v>-2474.1891469009443</v>
      </c>
      <c r="I211" s="286">
        <f t="shared" si="34"/>
        <v>-2379.6891469009443</v>
      </c>
      <c r="J211" s="286">
        <f t="shared" si="34"/>
        <v>-2274.6891469009443</v>
      </c>
      <c r="K211" s="286">
        <f t="shared" si="34"/>
        <v>-2169.6891469009443</v>
      </c>
      <c r="L211" s="286">
        <f t="shared" si="34"/>
        <v>-2064.6891469009443</v>
      </c>
      <c r="M211" s="286">
        <f t="shared" si="34"/>
        <v>-1959.6891469009443</v>
      </c>
      <c r="N211" s="286">
        <f t="shared" si="34"/>
        <v>-1854.6891469009443</v>
      </c>
      <c r="O211" s="286">
        <f t="shared" si="34"/>
        <v>-1749.6891469009443</v>
      </c>
      <c r="P211" s="286">
        <f t="shared" si="34"/>
        <v>-1644.6891469009443</v>
      </c>
      <c r="Q211" s="286">
        <f t="shared" si="34"/>
        <v>-1539.6891469009443</v>
      </c>
      <c r="R211" s="286">
        <f t="shared" si="34"/>
        <v>-1434.6891469009443</v>
      </c>
    </row>
    <row r="212" spans="7:18" hidden="1" outlineLevel="1" x14ac:dyDescent="0.25">
      <c r="G212" s="288">
        <v>0.3</v>
      </c>
      <c r="H212" s="286">
        <f t="shared" si="34"/>
        <v>-2472.0891469009443</v>
      </c>
      <c r="I212" s="286">
        <f t="shared" si="34"/>
        <v>-2358.6891469009443</v>
      </c>
      <c r="J212" s="286">
        <f t="shared" si="34"/>
        <v>-2232.6891469009443</v>
      </c>
      <c r="K212" s="286">
        <f t="shared" si="34"/>
        <v>-2106.6891469009443</v>
      </c>
      <c r="L212" s="286">
        <f t="shared" si="34"/>
        <v>-1980.6891469009443</v>
      </c>
      <c r="M212" s="286">
        <f t="shared" si="34"/>
        <v>-1854.6891469009443</v>
      </c>
      <c r="N212" s="286">
        <f t="shared" si="34"/>
        <v>-1728.6891469009443</v>
      </c>
      <c r="O212" s="286">
        <f t="shared" si="34"/>
        <v>-1602.6891469009443</v>
      </c>
      <c r="P212" s="286">
        <f t="shared" si="34"/>
        <v>-1476.6891469009443</v>
      </c>
      <c r="Q212" s="286">
        <f t="shared" si="34"/>
        <v>-1350.6891469009443</v>
      </c>
      <c r="R212" s="286">
        <f t="shared" si="34"/>
        <v>-1224.6891469009443</v>
      </c>
    </row>
    <row r="213" spans="7:18" hidden="1" outlineLevel="1" x14ac:dyDescent="0.25">
      <c r="G213" s="288">
        <v>0.35</v>
      </c>
      <c r="H213" s="286">
        <f t="shared" si="34"/>
        <v>-2469.9891469009444</v>
      </c>
      <c r="I213" s="286">
        <f t="shared" si="34"/>
        <v>-2337.6891469009443</v>
      </c>
      <c r="J213" s="286">
        <f t="shared" si="34"/>
        <v>-2190.6891469009443</v>
      </c>
      <c r="K213" s="286">
        <f t="shared" si="34"/>
        <v>-2043.6891469009443</v>
      </c>
      <c r="L213" s="286">
        <f t="shared" si="34"/>
        <v>-1896.6891469009443</v>
      </c>
      <c r="M213" s="286">
        <f t="shared" si="34"/>
        <v>-1749.6891469009443</v>
      </c>
      <c r="N213" s="286">
        <f t="shared" si="34"/>
        <v>-1602.6891469009443</v>
      </c>
      <c r="O213" s="286">
        <f t="shared" si="34"/>
        <v>-1455.6891469009445</v>
      </c>
      <c r="P213" s="286">
        <f t="shared" si="34"/>
        <v>-1308.6891469009445</v>
      </c>
      <c r="Q213" s="286">
        <f t="shared" si="34"/>
        <v>-1161.6891469009443</v>
      </c>
      <c r="R213" s="286">
        <f t="shared" si="34"/>
        <v>-1014.6891469009443</v>
      </c>
    </row>
    <row r="214" spans="7:18" hidden="1" outlineLevel="1" x14ac:dyDescent="0.25">
      <c r="G214" s="288">
        <v>0.4</v>
      </c>
      <c r="H214" s="286">
        <f t="shared" si="34"/>
        <v>-2467.8891469009441</v>
      </c>
      <c r="I214" s="286">
        <f t="shared" si="34"/>
        <v>-2316.6891469009443</v>
      </c>
      <c r="J214" s="286">
        <f t="shared" si="34"/>
        <v>-2148.6891469009443</v>
      </c>
      <c r="K214" s="286">
        <f t="shared" si="34"/>
        <v>-1980.6891469009443</v>
      </c>
      <c r="L214" s="286">
        <f t="shared" si="34"/>
        <v>-1812.6891469009443</v>
      </c>
      <c r="M214" s="286">
        <f t="shared" si="34"/>
        <v>-1644.6891469009443</v>
      </c>
      <c r="N214" s="286">
        <f t="shared" si="34"/>
        <v>-1476.6891469009443</v>
      </c>
      <c r="O214" s="286">
        <f t="shared" si="34"/>
        <v>-1308.6891469009445</v>
      </c>
      <c r="P214" s="286">
        <f t="shared" si="34"/>
        <v>-1140.689146900944</v>
      </c>
      <c r="Q214" s="286">
        <f t="shared" si="34"/>
        <v>-972.68914690094402</v>
      </c>
      <c r="R214" s="286">
        <f t="shared" si="34"/>
        <v>-804.68914690094425</v>
      </c>
    </row>
    <row r="215" spans="7:18" hidden="1" outlineLevel="1" x14ac:dyDescent="0.25">
      <c r="G215" s="288">
        <v>0.45</v>
      </c>
      <c r="H215" s="286">
        <f t="shared" si="34"/>
        <v>-2465.7891469009442</v>
      </c>
      <c r="I215" s="286">
        <f t="shared" si="34"/>
        <v>-2295.6891469009443</v>
      </c>
      <c r="J215" s="286">
        <f t="shared" si="34"/>
        <v>-2106.6891469009443</v>
      </c>
      <c r="K215" s="286">
        <f t="shared" si="34"/>
        <v>-1917.6891469009443</v>
      </c>
      <c r="L215" s="286">
        <f t="shared" si="34"/>
        <v>-1728.6891469009443</v>
      </c>
      <c r="M215" s="286">
        <f t="shared" si="34"/>
        <v>-1539.6891469009443</v>
      </c>
      <c r="N215" s="286">
        <f t="shared" si="34"/>
        <v>-1350.6891469009443</v>
      </c>
      <c r="O215" s="286">
        <f t="shared" si="34"/>
        <v>-1161.6891469009443</v>
      </c>
      <c r="P215" s="286">
        <f t="shared" si="34"/>
        <v>-972.68914690094402</v>
      </c>
      <c r="Q215" s="286">
        <f t="shared" si="34"/>
        <v>-783.68914690094425</v>
      </c>
      <c r="R215" s="286">
        <f t="shared" si="34"/>
        <v>-594.68914690094425</v>
      </c>
    </row>
    <row r="216" spans="7:18" collapsed="1" x14ac:dyDescent="0.25">
      <c r="G216" s="288">
        <v>0.5</v>
      </c>
      <c r="H216" s="286">
        <f t="shared" ref="H216:R226" si="35">(((H$204*$G216)*($C$21+$C$23))-($C$25+$C$28))</f>
        <v>-2463.6891469009443</v>
      </c>
      <c r="I216" s="286">
        <f t="shared" si="35"/>
        <v>-2274.6891469009443</v>
      </c>
      <c r="J216" s="286">
        <f t="shared" si="35"/>
        <v>-2064.6891469009443</v>
      </c>
      <c r="K216" s="286">
        <f t="shared" si="35"/>
        <v>-1854.6891469009443</v>
      </c>
      <c r="L216" s="286">
        <f t="shared" si="35"/>
        <v>-1644.6891469009443</v>
      </c>
      <c r="M216" s="286">
        <f t="shared" si="35"/>
        <v>-1434.6891469009443</v>
      </c>
      <c r="N216" s="286">
        <f t="shared" si="35"/>
        <v>-1224.6891469009443</v>
      </c>
      <c r="O216" s="286">
        <f t="shared" si="35"/>
        <v>-1014.6891469009443</v>
      </c>
      <c r="P216" s="286">
        <f t="shared" si="35"/>
        <v>-804.68914690094425</v>
      </c>
      <c r="Q216" s="286">
        <f t="shared" si="35"/>
        <v>-594.68914690094425</v>
      </c>
      <c r="R216" s="286">
        <f t="shared" si="35"/>
        <v>-384.68914690094425</v>
      </c>
    </row>
    <row r="217" spans="7:18" x14ac:dyDescent="0.25">
      <c r="G217" s="288">
        <v>0.55000000000000004</v>
      </c>
      <c r="H217" s="286">
        <f t="shared" si="35"/>
        <v>-2461.5891469009443</v>
      </c>
      <c r="I217" s="286">
        <f t="shared" si="35"/>
        <v>-2253.6891469009443</v>
      </c>
      <c r="J217" s="286">
        <f t="shared" si="35"/>
        <v>-2022.6891469009443</v>
      </c>
      <c r="K217" s="286">
        <f t="shared" si="35"/>
        <v>-1791.6891469009443</v>
      </c>
      <c r="L217" s="286">
        <f t="shared" si="35"/>
        <v>-1560.6891469009443</v>
      </c>
      <c r="M217" s="286">
        <f t="shared" si="35"/>
        <v>-1329.6891469009443</v>
      </c>
      <c r="N217" s="286">
        <f t="shared" si="35"/>
        <v>-1098.6891469009443</v>
      </c>
      <c r="O217" s="286">
        <f t="shared" si="35"/>
        <v>-867.68914690094425</v>
      </c>
      <c r="P217" s="286">
        <f t="shared" si="35"/>
        <v>-636.68914690094402</v>
      </c>
      <c r="Q217" s="286">
        <f t="shared" si="35"/>
        <v>-405.68914690094425</v>
      </c>
      <c r="R217" s="286">
        <f t="shared" si="35"/>
        <v>-174.68914690094425</v>
      </c>
    </row>
    <row r="218" spans="7:18" x14ac:dyDescent="0.25">
      <c r="G218" s="288">
        <v>0.6</v>
      </c>
      <c r="H218" s="286">
        <f t="shared" si="35"/>
        <v>-2459.4891469009444</v>
      </c>
      <c r="I218" s="286">
        <f t="shared" si="35"/>
        <v>-2232.6891469009443</v>
      </c>
      <c r="J218" s="286">
        <f t="shared" si="35"/>
        <v>-1980.6891469009443</v>
      </c>
      <c r="K218" s="286">
        <f t="shared" si="35"/>
        <v>-1728.6891469009443</v>
      </c>
      <c r="L218" s="286">
        <f t="shared" si="35"/>
        <v>-1476.6891469009443</v>
      </c>
      <c r="M218" s="286">
        <f t="shared" si="35"/>
        <v>-1224.6891469009443</v>
      </c>
      <c r="N218" s="286">
        <f t="shared" si="35"/>
        <v>-972.68914690094425</v>
      </c>
      <c r="O218" s="286">
        <f t="shared" si="35"/>
        <v>-720.68914690094425</v>
      </c>
      <c r="P218" s="286">
        <f t="shared" si="35"/>
        <v>-468.68914690094425</v>
      </c>
      <c r="Q218" s="286">
        <f t="shared" si="35"/>
        <v>-216.68914690094425</v>
      </c>
      <c r="R218" s="286">
        <f t="shared" si="35"/>
        <v>35.310853099055748</v>
      </c>
    </row>
    <row r="219" spans="7:18" x14ac:dyDescent="0.25">
      <c r="G219" s="288">
        <v>0.65</v>
      </c>
      <c r="H219" s="286">
        <f t="shared" si="35"/>
        <v>-2457.3891469009441</v>
      </c>
      <c r="I219" s="286">
        <f t="shared" si="35"/>
        <v>-2211.6891469009443</v>
      </c>
      <c r="J219" s="286">
        <f t="shared" si="35"/>
        <v>-1938.6891469009443</v>
      </c>
      <c r="K219" s="286">
        <f t="shared" si="35"/>
        <v>-1665.6891469009443</v>
      </c>
      <c r="L219" s="286">
        <f t="shared" si="35"/>
        <v>-1392.6891469009443</v>
      </c>
      <c r="M219" s="286">
        <f t="shared" si="35"/>
        <v>-1119.6891469009443</v>
      </c>
      <c r="N219" s="286">
        <f t="shared" si="35"/>
        <v>-846.68914690094425</v>
      </c>
      <c r="O219" s="286">
        <f t="shared" si="35"/>
        <v>-573.68914690094448</v>
      </c>
      <c r="P219" s="286">
        <f t="shared" si="35"/>
        <v>-300.68914690094425</v>
      </c>
      <c r="Q219" s="286">
        <f t="shared" si="35"/>
        <v>-27.689146900943797</v>
      </c>
      <c r="R219" s="286">
        <f t="shared" si="35"/>
        <v>245.31085309905575</v>
      </c>
    </row>
    <row r="220" spans="7:18" x14ac:dyDescent="0.25">
      <c r="G220" s="288">
        <v>0.7</v>
      </c>
      <c r="H220" s="286">
        <f t="shared" si="35"/>
        <v>-2455.2891469009442</v>
      </c>
      <c r="I220" s="286">
        <f t="shared" si="35"/>
        <v>-2190.6891469009443</v>
      </c>
      <c r="J220" s="286">
        <f t="shared" si="35"/>
        <v>-1896.6891469009443</v>
      </c>
      <c r="K220" s="286">
        <f t="shared" si="35"/>
        <v>-1602.6891469009443</v>
      </c>
      <c r="L220" s="286">
        <f t="shared" si="35"/>
        <v>-1308.6891469009445</v>
      </c>
      <c r="M220" s="286">
        <f t="shared" si="35"/>
        <v>-1014.6891469009443</v>
      </c>
      <c r="N220" s="286">
        <f t="shared" si="35"/>
        <v>-720.68914690094425</v>
      </c>
      <c r="O220" s="286">
        <f t="shared" si="35"/>
        <v>-426.68914690094471</v>
      </c>
      <c r="P220" s="286">
        <f t="shared" si="35"/>
        <v>-132.68914690094471</v>
      </c>
      <c r="Q220" s="286">
        <f t="shared" si="35"/>
        <v>161.31085309905575</v>
      </c>
      <c r="R220" s="286">
        <f t="shared" si="35"/>
        <v>455.31085309905575</v>
      </c>
    </row>
    <row r="221" spans="7:18" x14ac:dyDescent="0.25">
      <c r="G221" s="288">
        <v>0.75</v>
      </c>
      <c r="H221" s="286">
        <f t="shared" si="35"/>
        <v>-2453.1891469009443</v>
      </c>
      <c r="I221" s="286">
        <f t="shared" si="35"/>
        <v>-2169.6891469009443</v>
      </c>
      <c r="J221" s="286">
        <f t="shared" si="35"/>
        <v>-1854.6891469009443</v>
      </c>
      <c r="K221" s="286">
        <f t="shared" si="35"/>
        <v>-1539.6891469009443</v>
      </c>
      <c r="L221" s="286">
        <f t="shared" si="35"/>
        <v>-1224.689146900944</v>
      </c>
      <c r="M221" s="286">
        <f t="shared" si="35"/>
        <v>-909.68914690094425</v>
      </c>
      <c r="N221" s="286">
        <f t="shared" si="35"/>
        <v>-594.68914690094448</v>
      </c>
      <c r="O221" s="286">
        <f t="shared" si="35"/>
        <v>-279.68914690094471</v>
      </c>
      <c r="P221" s="286">
        <f t="shared" si="35"/>
        <v>35.310853099056203</v>
      </c>
      <c r="Q221" s="286">
        <f t="shared" si="35"/>
        <v>350.31085309905575</v>
      </c>
      <c r="R221" s="286">
        <f t="shared" si="35"/>
        <v>665.31085309905575</v>
      </c>
    </row>
    <row r="222" spans="7:18" x14ac:dyDescent="0.25">
      <c r="G222" s="288">
        <v>0.8</v>
      </c>
      <c r="H222" s="286">
        <f t="shared" si="35"/>
        <v>-2451.0891469009443</v>
      </c>
      <c r="I222" s="286">
        <f t="shared" si="35"/>
        <v>-2148.6891469009443</v>
      </c>
      <c r="J222" s="286">
        <f t="shared" si="35"/>
        <v>-1812.6891469009443</v>
      </c>
      <c r="K222" s="286">
        <f t="shared" si="35"/>
        <v>-1476.6891469009443</v>
      </c>
      <c r="L222" s="286">
        <f t="shared" si="35"/>
        <v>-1140.689146900944</v>
      </c>
      <c r="M222" s="286">
        <f t="shared" si="35"/>
        <v>-804.68914690094425</v>
      </c>
      <c r="N222" s="286">
        <f t="shared" si="35"/>
        <v>-468.68914690094425</v>
      </c>
      <c r="O222" s="286">
        <f t="shared" si="35"/>
        <v>-132.68914690094471</v>
      </c>
      <c r="P222" s="286">
        <f t="shared" si="35"/>
        <v>203.3108530990562</v>
      </c>
      <c r="Q222" s="286">
        <f t="shared" si="35"/>
        <v>539.3108530990562</v>
      </c>
      <c r="R222" s="286">
        <f t="shared" si="35"/>
        <v>875.31085309905575</v>
      </c>
    </row>
    <row r="223" spans="7:18" x14ac:dyDescent="0.25">
      <c r="G223" s="288">
        <v>0.85</v>
      </c>
      <c r="H223" s="286">
        <f t="shared" si="35"/>
        <v>-2448.9891469009444</v>
      </c>
      <c r="I223" s="286">
        <f t="shared" si="35"/>
        <v>-2127.6891469009443</v>
      </c>
      <c r="J223" s="286">
        <f t="shared" si="35"/>
        <v>-1770.6891469009443</v>
      </c>
      <c r="K223" s="286">
        <f t="shared" si="35"/>
        <v>-1413.6891469009443</v>
      </c>
      <c r="L223" s="286">
        <f t="shared" si="35"/>
        <v>-1056.6891469009443</v>
      </c>
      <c r="M223" s="286">
        <f t="shared" si="35"/>
        <v>-699.68914690094425</v>
      </c>
      <c r="N223" s="286">
        <f t="shared" si="35"/>
        <v>-342.68914690094425</v>
      </c>
      <c r="O223" s="286">
        <f t="shared" si="35"/>
        <v>14.310853099055748</v>
      </c>
      <c r="P223" s="286">
        <f t="shared" si="35"/>
        <v>371.31085309905575</v>
      </c>
      <c r="Q223" s="286">
        <f t="shared" si="35"/>
        <v>728.31085309905575</v>
      </c>
      <c r="R223" s="286">
        <f t="shared" si="35"/>
        <v>1085.3108530990557</v>
      </c>
    </row>
    <row r="224" spans="7:18" x14ac:dyDescent="0.25">
      <c r="G224" s="288">
        <v>0.9</v>
      </c>
      <c r="H224" s="286">
        <f t="shared" si="35"/>
        <v>-2446.8891469009441</v>
      </c>
      <c r="I224" s="286">
        <f t="shared" si="35"/>
        <v>-2106.6891469009443</v>
      </c>
      <c r="J224" s="286">
        <f t="shared" si="35"/>
        <v>-1728.6891469009443</v>
      </c>
      <c r="K224" s="286">
        <f t="shared" si="35"/>
        <v>-1350.6891469009443</v>
      </c>
      <c r="L224" s="286">
        <f t="shared" si="35"/>
        <v>-972.68914690094402</v>
      </c>
      <c r="M224" s="286">
        <f t="shared" si="35"/>
        <v>-594.68914690094425</v>
      </c>
      <c r="N224" s="286">
        <f t="shared" si="35"/>
        <v>-216.68914690094425</v>
      </c>
      <c r="O224" s="286">
        <f t="shared" si="35"/>
        <v>161.31085309905575</v>
      </c>
      <c r="P224" s="286">
        <f t="shared" si="35"/>
        <v>539.3108530990562</v>
      </c>
      <c r="Q224" s="286">
        <f t="shared" si="35"/>
        <v>917.31085309905575</v>
      </c>
      <c r="R224" s="286">
        <f t="shared" si="35"/>
        <v>1295.3108530990557</v>
      </c>
    </row>
    <row r="225" spans="7:18" x14ac:dyDescent="0.25">
      <c r="G225" s="288">
        <v>0.95</v>
      </c>
      <c r="H225" s="286">
        <f t="shared" si="35"/>
        <v>-2444.7891469009442</v>
      </c>
      <c r="I225" s="286">
        <f t="shared" si="35"/>
        <v>-2085.6891469009443</v>
      </c>
      <c r="J225" s="286">
        <f t="shared" si="35"/>
        <v>-1686.6891469009443</v>
      </c>
      <c r="K225" s="286">
        <f t="shared" si="35"/>
        <v>-1287.6891469009443</v>
      </c>
      <c r="L225" s="286">
        <f t="shared" si="35"/>
        <v>-888.68914690094425</v>
      </c>
      <c r="M225" s="286">
        <f t="shared" si="35"/>
        <v>-489.68914690094425</v>
      </c>
      <c r="N225" s="286">
        <f t="shared" si="35"/>
        <v>-90.689146900944252</v>
      </c>
      <c r="O225" s="286">
        <f t="shared" si="35"/>
        <v>308.31085309905529</v>
      </c>
      <c r="P225" s="286">
        <f t="shared" si="35"/>
        <v>707.31085309905575</v>
      </c>
      <c r="Q225" s="286">
        <f t="shared" si="35"/>
        <v>1106.3108530990557</v>
      </c>
      <c r="R225" s="286">
        <f t="shared" si="35"/>
        <v>1505.3108530990557</v>
      </c>
    </row>
    <row r="226" spans="7:18" ht="15.75" thickBot="1" x14ac:dyDescent="0.3">
      <c r="G226" s="287">
        <v>1</v>
      </c>
      <c r="H226" s="286">
        <f t="shared" si="35"/>
        <v>-2442.6891469009443</v>
      </c>
      <c r="I226" s="286">
        <f t="shared" si="35"/>
        <v>-2064.6891469009443</v>
      </c>
      <c r="J226" s="286">
        <f t="shared" si="35"/>
        <v>-1644.6891469009443</v>
      </c>
      <c r="K226" s="286">
        <f t="shared" si="35"/>
        <v>-1224.6891469009443</v>
      </c>
      <c r="L226" s="286">
        <f t="shared" si="35"/>
        <v>-804.68914690094425</v>
      </c>
      <c r="M226" s="286">
        <f t="shared" si="35"/>
        <v>-384.68914690094425</v>
      </c>
      <c r="N226" s="286">
        <f t="shared" si="35"/>
        <v>35.310853099055748</v>
      </c>
      <c r="O226" s="286">
        <f t="shared" si="35"/>
        <v>455.31085309905575</v>
      </c>
      <c r="P226" s="286">
        <f t="shared" si="35"/>
        <v>875.31085309905575</v>
      </c>
      <c r="Q226" s="286">
        <f t="shared" si="35"/>
        <v>1295.3108530990557</v>
      </c>
      <c r="R226" s="286">
        <f t="shared" si="35"/>
        <v>1715.3108530990557</v>
      </c>
    </row>
  </sheetData>
  <mergeCells count="21">
    <mergeCell ref="G174:R175"/>
    <mergeCell ref="G202:R203"/>
    <mergeCell ref="G118:R119"/>
    <mergeCell ref="T118:AE119"/>
    <mergeCell ref="AG118:AR119"/>
    <mergeCell ref="G146:R147"/>
    <mergeCell ref="T146:AE147"/>
    <mergeCell ref="AG146:AR147"/>
    <mergeCell ref="G62:R63"/>
    <mergeCell ref="T62:AE63"/>
    <mergeCell ref="AG62:AR63"/>
    <mergeCell ref="G90:R91"/>
    <mergeCell ref="T90:AE91"/>
    <mergeCell ref="AG90:AR91"/>
    <mergeCell ref="AT52:AV52"/>
    <mergeCell ref="B18:C19"/>
    <mergeCell ref="AU3:BF4"/>
    <mergeCell ref="BC28:BE28"/>
    <mergeCell ref="G34:R35"/>
    <mergeCell ref="T34:AE35"/>
    <mergeCell ref="AG34:AR35"/>
  </mergeCells>
  <conditionalFormatting sqref="H38:R58">
    <cfRule type="cellIs" dxfId="79" priority="52" operator="lessThan">
      <formula>0</formula>
    </cfRule>
    <cfRule type="cellIs" dxfId="78" priority="51" operator="greaterThan">
      <formula>0</formula>
    </cfRule>
  </conditionalFormatting>
  <conditionalFormatting sqref="H66:R86">
    <cfRule type="cellIs" dxfId="77" priority="48" operator="greaterThan">
      <formula>0</formula>
    </cfRule>
    <cfRule type="cellIs" dxfId="76" priority="49" operator="lessThan">
      <formula>0</formula>
    </cfRule>
  </conditionalFormatting>
  <conditionalFormatting sqref="H94:R114">
    <cfRule type="cellIs" dxfId="75" priority="39" operator="greaterThan">
      <formula>0</formula>
    </cfRule>
    <cfRule type="cellIs" dxfId="74" priority="40" operator="lessThan">
      <formula>0</formula>
    </cfRule>
  </conditionalFormatting>
  <conditionalFormatting sqref="H122:R142">
    <cfRule type="cellIs" dxfId="73" priority="34" operator="lessThan">
      <formula>0</formula>
    </cfRule>
    <cfRule type="cellIs" dxfId="72" priority="33" operator="greaterThan">
      <formula>0</formula>
    </cfRule>
  </conditionalFormatting>
  <conditionalFormatting sqref="H150:R170">
    <cfRule type="cellIs" dxfId="71" priority="27" operator="greaterThan">
      <formula>0</formula>
    </cfRule>
    <cfRule type="cellIs" dxfId="70" priority="28" operator="lessThan">
      <formula>0</formula>
    </cfRule>
  </conditionalFormatting>
  <conditionalFormatting sqref="H178:R198">
    <cfRule type="cellIs" dxfId="69" priority="22" operator="lessThan">
      <formula>0</formula>
    </cfRule>
    <cfRule type="cellIs" dxfId="68" priority="21" operator="greaterThan">
      <formula>0</formula>
    </cfRule>
  </conditionalFormatting>
  <conditionalFormatting sqref="H206:R226">
    <cfRule type="cellIs" dxfId="67" priority="18" operator="greaterThan">
      <formula>0</formula>
    </cfRule>
    <cfRule type="cellIs" dxfId="66" priority="19" operator="lessThan">
      <formula>0</formula>
    </cfRule>
  </conditionalFormatting>
  <conditionalFormatting sqref="R38">
    <cfRule type="cellIs" dxfId="65" priority="50" operator="equal">
      <formula>0</formula>
    </cfRule>
  </conditionalFormatting>
  <conditionalFormatting sqref="R66">
    <cfRule type="cellIs" dxfId="64" priority="47" operator="equal">
      <formula>0</formula>
    </cfRule>
  </conditionalFormatting>
  <conditionalFormatting sqref="R94">
    <cfRule type="cellIs" dxfId="63" priority="38" operator="equal">
      <formula>0</formula>
    </cfRule>
  </conditionalFormatting>
  <conditionalFormatting sqref="R122">
    <cfRule type="cellIs" dxfId="62" priority="32" operator="equal">
      <formula>0</formula>
    </cfRule>
  </conditionalFormatting>
  <conditionalFormatting sqref="R150">
    <cfRule type="cellIs" dxfId="61" priority="26" operator="equal">
      <formula>0</formula>
    </cfRule>
  </conditionalFormatting>
  <conditionalFormatting sqref="R178">
    <cfRule type="cellIs" dxfId="60" priority="20" operator="equal">
      <formula>0</formula>
    </cfRule>
  </conditionalFormatting>
  <conditionalFormatting sqref="R206">
    <cfRule type="cellIs" dxfId="59" priority="17" operator="equal">
      <formula>0</formula>
    </cfRule>
  </conditionalFormatting>
  <conditionalFormatting sqref="U38:AE58">
    <cfRule type="cellIs" dxfId="58" priority="46" operator="lessThan">
      <formula>0</formula>
    </cfRule>
    <cfRule type="cellIs" dxfId="57" priority="45" operator="greaterThan">
      <formula>0</formula>
    </cfRule>
  </conditionalFormatting>
  <conditionalFormatting sqref="U66:AE86">
    <cfRule type="cellIs" dxfId="56" priority="43" operator="lessThan">
      <formula>0</formula>
    </cfRule>
    <cfRule type="cellIs" dxfId="55" priority="42" operator="greaterThan">
      <formula>0</formula>
    </cfRule>
  </conditionalFormatting>
  <conditionalFormatting sqref="U94:AE114">
    <cfRule type="cellIs" dxfId="54" priority="36" operator="greaterThan">
      <formula>0</formula>
    </cfRule>
    <cfRule type="cellIs" dxfId="53" priority="37" operator="lessThan">
      <formula>0</formula>
    </cfRule>
  </conditionalFormatting>
  <conditionalFormatting sqref="U122:AE142">
    <cfRule type="cellIs" dxfId="52" priority="30" operator="greaterThan">
      <formula>0</formula>
    </cfRule>
    <cfRule type="cellIs" dxfId="51" priority="31" operator="lessThan">
      <formula>0</formula>
    </cfRule>
  </conditionalFormatting>
  <conditionalFormatting sqref="U150:AE170">
    <cfRule type="cellIs" dxfId="50" priority="25" operator="lessThan">
      <formula>0</formula>
    </cfRule>
    <cfRule type="cellIs" dxfId="49" priority="24" operator="greaterThan">
      <formula>0</formula>
    </cfRule>
  </conditionalFormatting>
  <conditionalFormatting sqref="AE38">
    <cfRule type="cellIs" dxfId="48" priority="44" operator="equal">
      <formula>0</formula>
    </cfRule>
  </conditionalFormatting>
  <conditionalFormatting sqref="AE66">
    <cfRule type="cellIs" dxfId="47" priority="41" operator="equal">
      <formula>0</formula>
    </cfRule>
  </conditionalFormatting>
  <conditionalFormatting sqref="AE94">
    <cfRule type="cellIs" dxfId="46" priority="35" operator="equal">
      <formula>0</formula>
    </cfRule>
  </conditionalFormatting>
  <conditionalFormatting sqref="AE122">
    <cfRule type="cellIs" dxfId="45" priority="29" operator="equal">
      <formula>0</formula>
    </cfRule>
  </conditionalFormatting>
  <conditionalFormatting sqref="AE150">
    <cfRule type="cellIs" dxfId="44" priority="23" operator="equal">
      <formula>0</formula>
    </cfRule>
  </conditionalFormatting>
  <conditionalFormatting sqref="AH38:AR58">
    <cfRule type="cellIs" dxfId="43" priority="16" operator="lessThan">
      <formula>0</formula>
    </cfRule>
    <cfRule type="cellIs" dxfId="42" priority="15" operator="greaterThan">
      <formula>0</formula>
    </cfRule>
  </conditionalFormatting>
  <conditionalFormatting sqref="AH66:AR86">
    <cfRule type="cellIs" dxfId="41" priority="13" operator="lessThan">
      <formula>0</formula>
    </cfRule>
    <cfRule type="cellIs" dxfId="40" priority="12" operator="greaterThan">
      <formula>0</formula>
    </cfRule>
  </conditionalFormatting>
  <conditionalFormatting sqref="AH94:AR114">
    <cfRule type="cellIs" dxfId="39" priority="9" operator="greaterThan">
      <formula>0</formula>
    </cfRule>
    <cfRule type="cellIs" dxfId="38" priority="10" operator="lessThan">
      <formula>0</formula>
    </cfRule>
  </conditionalFormatting>
  <conditionalFormatting sqref="AH122:AR142">
    <cfRule type="cellIs" dxfId="37" priority="6" operator="greaterThan">
      <formula>0</formula>
    </cfRule>
    <cfRule type="cellIs" dxfId="36" priority="7" operator="lessThan">
      <formula>0</formula>
    </cfRule>
  </conditionalFormatting>
  <conditionalFormatting sqref="AH150:AR170">
    <cfRule type="cellIs" dxfId="35" priority="3" operator="greaterThan">
      <formula>0</formula>
    </cfRule>
    <cfRule type="cellIs" dxfId="34" priority="4" operator="lessThan">
      <formula>0</formula>
    </cfRule>
  </conditionalFormatting>
  <conditionalFormatting sqref="AR38">
    <cfRule type="cellIs" dxfId="33" priority="14" operator="equal">
      <formula>0</formula>
    </cfRule>
  </conditionalFormatting>
  <conditionalFormatting sqref="AR66">
    <cfRule type="cellIs" dxfId="32" priority="11" operator="equal">
      <formula>0</formula>
    </cfRule>
  </conditionalFormatting>
  <conditionalFormatting sqref="AR94">
    <cfRule type="cellIs" dxfId="31" priority="8" operator="equal">
      <formula>0</formula>
    </cfRule>
  </conditionalFormatting>
  <conditionalFormatting sqref="AR122">
    <cfRule type="cellIs" dxfId="30" priority="5" operator="equal">
      <formula>0</formula>
    </cfRule>
  </conditionalFormatting>
  <conditionalFormatting sqref="AR150">
    <cfRule type="cellIs" dxfId="29" priority="2" operator="equal">
      <formula>0</formula>
    </cfRule>
  </conditionalFormatting>
  <conditionalFormatting sqref="AV6:BF6">
    <cfRule type="cellIs" dxfId="28" priority="1" operator="greaterThan">
      <formula>0</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76C9B-2253-4BD4-BEFE-DCE7C3278E50}">
  <sheetPr>
    <tabColor theme="4"/>
  </sheetPr>
  <dimension ref="B3:Q119"/>
  <sheetViews>
    <sheetView zoomScale="63" workbookViewId="0">
      <selection activeCell="E15" sqref="E15"/>
    </sheetView>
  </sheetViews>
  <sheetFormatPr defaultRowHeight="15" x14ac:dyDescent="0.25"/>
  <cols>
    <col min="1" max="1" width="9" customWidth="1"/>
    <col min="2" max="2" width="13.42578125" customWidth="1"/>
    <col min="3" max="3" width="9.28515625" bestFit="1" customWidth="1"/>
    <col min="6" max="6" width="9.7109375" customWidth="1"/>
  </cols>
  <sheetData>
    <row r="3" spans="2:17" ht="15.75" thickBot="1" x14ac:dyDescent="0.3"/>
    <row r="4" spans="2:17" x14ac:dyDescent="0.25">
      <c r="F4" s="336" t="s">
        <v>308</v>
      </c>
      <c r="G4" s="337"/>
      <c r="H4" s="337"/>
      <c r="I4" s="337"/>
      <c r="J4" s="337"/>
      <c r="K4" s="337"/>
      <c r="L4" s="337"/>
      <c r="M4" s="337"/>
      <c r="N4" s="337"/>
      <c r="O4" s="337"/>
      <c r="P4" s="337"/>
      <c r="Q4" s="338"/>
    </row>
    <row r="5" spans="2:17" ht="15.75" thickBot="1" x14ac:dyDescent="0.3">
      <c r="F5" s="346"/>
      <c r="G5" s="344"/>
      <c r="H5" s="344"/>
      <c r="I5" s="344"/>
      <c r="J5" s="344"/>
      <c r="K5" s="344"/>
      <c r="L5" s="344"/>
      <c r="M5" s="344"/>
      <c r="N5" s="344"/>
      <c r="O5" s="344"/>
      <c r="P5" s="344"/>
      <c r="Q5" s="347"/>
    </row>
    <row r="6" spans="2:17" ht="15.75" thickBot="1" x14ac:dyDescent="0.3">
      <c r="F6" s="292" t="s">
        <v>309</v>
      </c>
      <c r="G6" s="291">
        <v>0.01</v>
      </c>
      <c r="H6" s="291">
        <v>0.1</v>
      </c>
      <c r="I6" s="291">
        <v>0.2</v>
      </c>
      <c r="J6" s="291">
        <v>0.3</v>
      </c>
      <c r="K6" s="291">
        <v>0.4</v>
      </c>
      <c r="L6" s="291">
        <v>0.5</v>
      </c>
      <c r="M6" s="291">
        <v>0.6</v>
      </c>
      <c r="N6" s="291">
        <v>0.7</v>
      </c>
      <c r="O6" s="291">
        <v>0.8</v>
      </c>
      <c r="P6" s="291">
        <v>0.9</v>
      </c>
      <c r="Q6" s="290">
        <v>1</v>
      </c>
    </row>
    <row r="7" spans="2:17" ht="14.45" customHeight="1" x14ac:dyDescent="0.25">
      <c r="B7" s="332" t="s">
        <v>306</v>
      </c>
      <c r="C7" s="333"/>
      <c r="F7" s="289" t="s">
        <v>310</v>
      </c>
      <c r="Q7" s="246"/>
    </row>
    <row r="8" spans="2:17" ht="14.45" customHeight="1" x14ac:dyDescent="0.25">
      <c r="B8" s="334"/>
      <c r="C8" s="335"/>
      <c r="F8" s="324">
        <v>1</v>
      </c>
      <c r="G8" s="325">
        <f t="shared" ref="G8:Q17" si="0">$C$14/(G$6*(($C$10*$F8)+$B$84))</f>
        <v>110.20241948465582</v>
      </c>
      <c r="H8" s="325">
        <f t="shared" si="0"/>
        <v>11.020241948465582</v>
      </c>
      <c r="I8" s="325">
        <f t="shared" si="0"/>
        <v>5.510120974232791</v>
      </c>
      <c r="J8" s="325">
        <f t="shared" si="0"/>
        <v>3.6734139828218608</v>
      </c>
      <c r="K8" s="325">
        <f t="shared" si="0"/>
        <v>2.7550604871163955</v>
      </c>
      <c r="L8" s="325">
        <f t="shared" si="0"/>
        <v>2.2040483896931162</v>
      </c>
      <c r="M8" s="325">
        <f t="shared" si="0"/>
        <v>1.8367069914109304</v>
      </c>
      <c r="N8" s="325">
        <f t="shared" si="0"/>
        <v>1.5743202783522261</v>
      </c>
      <c r="O8" s="325">
        <f t="shared" si="0"/>
        <v>1.3775302435581978</v>
      </c>
      <c r="P8" s="325">
        <f t="shared" si="0"/>
        <v>1.2244713276072869</v>
      </c>
      <c r="Q8" s="325">
        <f t="shared" si="0"/>
        <v>1.1020241948465581</v>
      </c>
    </row>
    <row r="9" spans="2:17" x14ac:dyDescent="0.25">
      <c r="B9" s="33"/>
      <c r="C9" s="246"/>
      <c r="F9" s="324">
        <v>2</v>
      </c>
      <c r="G9" s="325">
        <f t="shared" si="0"/>
        <v>55.10120974232791</v>
      </c>
      <c r="H9" s="325">
        <f t="shared" si="0"/>
        <v>5.510120974232791</v>
      </c>
      <c r="I9" s="325">
        <f t="shared" si="0"/>
        <v>2.7550604871163955</v>
      </c>
      <c r="J9" s="325">
        <f t="shared" si="0"/>
        <v>1.8367069914109304</v>
      </c>
      <c r="K9" s="325">
        <f t="shared" si="0"/>
        <v>1.3775302435581978</v>
      </c>
      <c r="L9" s="325">
        <f t="shared" si="0"/>
        <v>1.1020241948465581</v>
      </c>
      <c r="M9" s="325">
        <f t="shared" si="0"/>
        <v>0.91835349570546521</v>
      </c>
      <c r="N9" s="325">
        <f t="shared" si="0"/>
        <v>0.78716013917611305</v>
      </c>
      <c r="O9" s="325">
        <f t="shared" si="0"/>
        <v>0.68876512177909888</v>
      </c>
      <c r="P9" s="325">
        <f t="shared" si="0"/>
        <v>0.61223566380364347</v>
      </c>
      <c r="Q9" s="325">
        <f t="shared" si="0"/>
        <v>0.55101209742327906</v>
      </c>
    </row>
    <row r="10" spans="2:17" x14ac:dyDescent="0.25">
      <c r="B10" s="241" t="s">
        <v>297</v>
      </c>
      <c r="C10" s="246">
        <v>2000</v>
      </c>
      <c r="F10" s="324">
        <v>3</v>
      </c>
      <c r="G10" s="325">
        <f t="shared" si="0"/>
        <v>36.734139828218609</v>
      </c>
      <c r="H10" s="325">
        <f t="shared" si="0"/>
        <v>3.6734139828218608</v>
      </c>
      <c r="I10" s="325">
        <f t="shared" si="0"/>
        <v>1.8367069914109304</v>
      </c>
      <c r="J10" s="325">
        <f t="shared" si="0"/>
        <v>1.2244713276072869</v>
      </c>
      <c r="K10" s="325">
        <f t="shared" si="0"/>
        <v>0.91835349570546521</v>
      </c>
      <c r="L10" s="325">
        <f t="shared" si="0"/>
        <v>0.73468279656437219</v>
      </c>
      <c r="M10" s="325">
        <f t="shared" si="0"/>
        <v>0.61223566380364347</v>
      </c>
      <c r="N10" s="325">
        <f t="shared" si="0"/>
        <v>0.52477342611740863</v>
      </c>
      <c r="O10" s="325">
        <f t="shared" si="0"/>
        <v>0.4591767478527326</v>
      </c>
      <c r="P10" s="325">
        <f t="shared" si="0"/>
        <v>0.40815710920242898</v>
      </c>
      <c r="Q10" s="325">
        <f t="shared" si="0"/>
        <v>0.36734139828218609</v>
      </c>
    </row>
    <row r="11" spans="2:17" x14ac:dyDescent="0.25">
      <c r="B11" s="241" t="s">
        <v>298</v>
      </c>
      <c r="C11" s="246">
        <v>200</v>
      </c>
      <c r="F11" s="324">
        <v>4</v>
      </c>
      <c r="G11" s="325">
        <f t="shared" si="0"/>
        <v>27.550604871163955</v>
      </c>
      <c r="H11" s="325">
        <f t="shared" si="0"/>
        <v>2.7550604871163955</v>
      </c>
      <c r="I11" s="325">
        <f t="shared" si="0"/>
        <v>1.3775302435581978</v>
      </c>
      <c r="J11" s="325">
        <f t="shared" si="0"/>
        <v>0.91835349570546521</v>
      </c>
      <c r="K11" s="325">
        <f t="shared" si="0"/>
        <v>0.68876512177909888</v>
      </c>
      <c r="L11" s="325">
        <f t="shared" si="0"/>
        <v>0.55101209742327906</v>
      </c>
      <c r="M11" s="325">
        <f t="shared" si="0"/>
        <v>0.4591767478527326</v>
      </c>
      <c r="N11" s="325">
        <f t="shared" si="0"/>
        <v>0.39358006958805652</v>
      </c>
      <c r="O11" s="325">
        <f t="shared" si="0"/>
        <v>0.34438256088954944</v>
      </c>
      <c r="P11" s="325">
        <f t="shared" si="0"/>
        <v>0.30611783190182174</v>
      </c>
      <c r="Q11" s="325">
        <f t="shared" si="0"/>
        <v>0.27550604871163953</v>
      </c>
    </row>
    <row r="12" spans="2:17" x14ac:dyDescent="0.25">
      <c r="B12" s="241" t="s">
        <v>299</v>
      </c>
      <c r="C12" s="246">
        <v>200</v>
      </c>
      <c r="F12" s="324">
        <v>5</v>
      </c>
      <c r="G12" s="325">
        <f t="shared" si="0"/>
        <v>22.040483896931164</v>
      </c>
      <c r="H12" s="325">
        <f t="shared" si="0"/>
        <v>2.2040483896931162</v>
      </c>
      <c r="I12" s="325">
        <f t="shared" si="0"/>
        <v>1.1020241948465581</v>
      </c>
      <c r="J12" s="325">
        <f t="shared" si="0"/>
        <v>0.73468279656437219</v>
      </c>
      <c r="K12" s="325">
        <f t="shared" si="0"/>
        <v>0.55101209742327906</v>
      </c>
      <c r="L12" s="325">
        <f t="shared" si="0"/>
        <v>0.4408096779386233</v>
      </c>
      <c r="M12" s="325">
        <f t="shared" si="0"/>
        <v>0.36734139828218609</v>
      </c>
      <c r="N12" s="325">
        <f t="shared" si="0"/>
        <v>0.31486405567044518</v>
      </c>
      <c r="O12" s="325">
        <f t="shared" si="0"/>
        <v>0.27550604871163953</v>
      </c>
      <c r="P12" s="325">
        <f t="shared" si="0"/>
        <v>0.24489426552145738</v>
      </c>
      <c r="Q12" s="325">
        <f t="shared" si="0"/>
        <v>0.22040483896931165</v>
      </c>
    </row>
    <row r="13" spans="2:17" x14ac:dyDescent="0.25">
      <c r="B13" s="241"/>
      <c r="C13" s="246"/>
      <c r="F13" s="324">
        <v>6</v>
      </c>
      <c r="G13" s="325">
        <f t="shared" si="0"/>
        <v>18.367069914109305</v>
      </c>
      <c r="H13" s="325">
        <f t="shared" si="0"/>
        <v>1.8367069914109304</v>
      </c>
      <c r="I13" s="325">
        <f t="shared" si="0"/>
        <v>0.91835349570546521</v>
      </c>
      <c r="J13" s="325">
        <f t="shared" si="0"/>
        <v>0.61223566380364347</v>
      </c>
      <c r="K13" s="325">
        <f t="shared" si="0"/>
        <v>0.4591767478527326</v>
      </c>
      <c r="L13" s="325">
        <f t="shared" si="0"/>
        <v>0.36734139828218609</v>
      </c>
      <c r="M13" s="325">
        <f t="shared" si="0"/>
        <v>0.30611783190182174</v>
      </c>
      <c r="N13" s="325">
        <f t="shared" si="0"/>
        <v>0.26238671305870431</v>
      </c>
      <c r="O13" s="325">
        <f t="shared" si="0"/>
        <v>0.2295883739263663</v>
      </c>
      <c r="P13" s="325">
        <f t="shared" si="0"/>
        <v>0.20407855460121449</v>
      </c>
      <c r="Q13" s="325">
        <f t="shared" si="0"/>
        <v>0.18367069914109305</v>
      </c>
    </row>
    <row r="14" spans="2:17" x14ac:dyDescent="0.25">
      <c r="B14" s="241" t="s">
        <v>300</v>
      </c>
      <c r="C14" s="245">
        <f>'Sensitivity Tables'!C25</f>
        <v>2204.0483896931164</v>
      </c>
      <c r="F14" s="324">
        <v>7</v>
      </c>
      <c r="G14" s="325">
        <f t="shared" si="0"/>
        <v>15.743202783522261</v>
      </c>
      <c r="H14" s="325">
        <f t="shared" si="0"/>
        <v>1.5743202783522261</v>
      </c>
      <c r="I14" s="325">
        <f t="shared" si="0"/>
        <v>0.78716013917611305</v>
      </c>
      <c r="J14" s="325">
        <f t="shared" si="0"/>
        <v>0.52477342611740863</v>
      </c>
      <c r="K14" s="325">
        <f t="shared" si="0"/>
        <v>0.39358006958805652</v>
      </c>
      <c r="L14" s="325">
        <f t="shared" si="0"/>
        <v>0.31486405567044518</v>
      </c>
      <c r="M14" s="325">
        <f t="shared" si="0"/>
        <v>0.26238671305870431</v>
      </c>
      <c r="N14" s="325">
        <f t="shared" si="0"/>
        <v>0.22490289690746085</v>
      </c>
      <c r="O14" s="325">
        <f t="shared" si="0"/>
        <v>0.19679003479402826</v>
      </c>
      <c r="P14" s="325">
        <f t="shared" si="0"/>
        <v>0.17492447537246955</v>
      </c>
      <c r="Q14" s="325">
        <f t="shared" si="0"/>
        <v>0.15743202783522259</v>
      </c>
    </row>
    <row r="15" spans="2:17" x14ac:dyDescent="0.25">
      <c r="B15" s="241" t="s">
        <v>301</v>
      </c>
      <c r="C15" s="245">
        <f>'Sensitivity Tables'!C26</f>
        <v>619.9320840193709</v>
      </c>
      <c r="F15" s="324">
        <v>8</v>
      </c>
      <c r="G15" s="325">
        <f t="shared" si="0"/>
        <v>13.775302435581978</v>
      </c>
      <c r="H15" s="325">
        <f t="shared" si="0"/>
        <v>1.3775302435581978</v>
      </c>
      <c r="I15" s="325">
        <f t="shared" si="0"/>
        <v>0.68876512177909888</v>
      </c>
      <c r="J15" s="325">
        <f t="shared" si="0"/>
        <v>0.4591767478527326</v>
      </c>
      <c r="K15" s="325">
        <f t="shared" si="0"/>
        <v>0.34438256088954944</v>
      </c>
      <c r="L15" s="325">
        <f t="shared" si="0"/>
        <v>0.27550604871163953</v>
      </c>
      <c r="M15" s="325">
        <f t="shared" si="0"/>
        <v>0.2295883739263663</v>
      </c>
      <c r="N15" s="325">
        <f t="shared" si="0"/>
        <v>0.19679003479402826</v>
      </c>
      <c r="O15" s="325">
        <f t="shared" si="0"/>
        <v>0.17219128044477472</v>
      </c>
      <c r="P15" s="325">
        <f t="shared" si="0"/>
        <v>0.15305891595091087</v>
      </c>
      <c r="Q15" s="325">
        <f t="shared" si="0"/>
        <v>0.13775302435581976</v>
      </c>
    </row>
    <row r="16" spans="2:17" x14ac:dyDescent="0.25">
      <c r="B16" s="241" t="s">
        <v>302</v>
      </c>
      <c r="C16" s="245">
        <f>'Sensitivity Tables'!C27</f>
        <v>5892.3199055253717</v>
      </c>
      <c r="F16" s="324">
        <v>9</v>
      </c>
      <c r="G16" s="325">
        <f t="shared" si="0"/>
        <v>12.244713276072869</v>
      </c>
      <c r="H16" s="325">
        <f t="shared" si="0"/>
        <v>1.2244713276072869</v>
      </c>
      <c r="I16" s="325">
        <f t="shared" si="0"/>
        <v>0.61223566380364347</v>
      </c>
      <c r="J16" s="325">
        <f t="shared" si="0"/>
        <v>0.40815710920242898</v>
      </c>
      <c r="K16" s="325">
        <f t="shared" si="0"/>
        <v>0.30611783190182174</v>
      </c>
      <c r="L16" s="325">
        <f t="shared" si="0"/>
        <v>0.24489426552145738</v>
      </c>
      <c r="M16" s="325">
        <f t="shared" si="0"/>
        <v>0.20407855460121449</v>
      </c>
      <c r="N16" s="325">
        <f t="shared" si="0"/>
        <v>0.17492447537246955</v>
      </c>
      <c r="O16" s="325">
        <f t="shared" si="0"/>
        <v>0.15305891595091087</v>
      </c>
      <c r="P16" s="325">
        <f t="shared" si="0"/>
        <v>0.13605236973414297</v>
      </c>
      <c r="Q16" s="325">
        <f t="shared" si="0"/>
        <v>0.12244713276072869</v>
      </c>
    </row>
    <row r="17" spans="2:17" ht="15.75" thickBot="1" x14ac:dyDescent="0.3">
      <c r="B17" s="241" t="s">
        <v>303</v>
      </c>
      <c r="C17" s="245">
        <f>'Sensitivity Tables'!C28</f>
        <v>280.64075720782768</v>
      </c>
      <c r="F17" s="326">
        <v>10</v>
      </c>
      <c r="G17" s="325">
        <f t="shared" si="0"/>
        <v>11.020241948465582</v>
      </c>
      <c r="H17" s="325">
        <f t="shared" si="0"/>
        <v>1.1020241948465581</v>
      </c>
      <c r="I17" s="325">
        <f t="shared" si="0"/>
        <v>0.55101209742327906</v>
      </c>
      <c r="J17" s="325">
        <f t="shared" si="0"/>
        <v>0.36734139828218609</v>
      </c>
      <c r="K17" s="325">
        <f t="shared" si="0"/>
        <v>0.27550604871163953</v>
      </c>
      <c r="L17" s="325">
        <f t="shared" si="0"/>
        <v>0.22040483896931165</v>
      </c>
      <c r="M17" s="325">
        <f t="shared" si="0"/>
        <v>0.18367069914109305</v>
      </c>
      <c r="N17" s="325">
        <f t="shared" si="0"/>
        <v>0.15743202783522259</v>
      </c>
      <c r="O17" s="325">
        <f t="shared" si="0"/>
        <v>0.13775302435581976</v>
      </c>
      <c r="P17" s="325">
        <f t="shared" si="0"/>
        <v>0.12244713276072869</v>
      </c>
      <c r="Q17" s="325">
        <f t="shared" si="0"/>
        <v>0.11020241948465583</v>
      </c>
    </row>
    <row r="18" spans="2:17" x14ac:dyDescent="0.25">
      <c r="B18" s="241" t="s">
        <v>304</v>
      </c>
      <c r="C18" s="245">
        <f>'Sensitivity Tables'!C29</f>
        <v>2464.180038344291</v>
      </c>
    </row>
    <row r="19" spans="2:17" x14ac:dyDescent="0.25">
      <c r="B19" s="241"/>
      <c r="C19" s="246"/>
    </row>
    <row r="20" spans="2:17" ht="15.75" thickBot="1" x14ac:dyDescent="0.3">
      <c r="B20" s="241" t="s">
        <v>296</v>
      </c>
      <c r="C20" s="321">
        <v>0</v>
      </c>
    </row>
    <row r="21" spans="2:17" x14ac:dyDescent="0.25">
      <c r="B21" s="241" t="s">
        <v>296</v>
      </c>
      <c r="C21" s="321">
        <v>0.5</v>
      </c>
      <c r="F21" s="336" t="s">
        <v>312</v>
      </c>
      <c r="G21" s="337"/>
      <c r="H21" s="337"/>
      <c r="I21" s="337"/>
      <c r="J21" s="337"/>
      <c r="K21" s="337"/>
      <c r="L21" s="337"/>
      <c r="M21" s="337"/>
      <c r="N21" s="337"/>
      <c r="O21" s="337"/>
      <c r="P21" s="337"/>
      <c r="Q21" s="338"/>
    </row>
    <row r="22" spans="2:17" ht="15.75" thickBot="1" x14ac:dyDescent="0.3">
      <c r="B22" s="247" t="s">
        <v>305</v>
      </c>
      <c r="C22" s="322">
        <v>0.25</v>
      </c>
      <c r="F22" s="346"/>
      <c r="G22" s="344"/>
      <c r="H22" s="344"/>
      <c r="I22" s="344"/>
      <c r="J22" s="344"/>
      <c r="K22" s="344"/>
      <c r="L22" s="344"/>
      <c r="M22" s="344"/>
      <c r="N22" s="344"/>
      <c r="O22" s="344"/>
      <c r="P22" s="344"/>
      <c r="Q22" s="347"/>
    </row>
    <row r="23" spans="2:17" ht="15.75" thickBot="1" x14ac:dyDescent="0.3">
      <c r="F23" s="292" t="s">
        <v>309</v>
      </c>
      <c r="G23" s="291">
        <v>0.01</v>
      </c>
      <c r="H23" s="291">
        <v>0.1</v>
      </c>
      <c r="I23" s="291">
        <v>0.2</v>
      </c>
      <c r="J23" s="291">
        <v>0.3</v>
      </c>
      <c r="K23" s="291">
        <v>0.4</v>
      </c>
      <c r="L23" s="291">
        <v>0.5</v>
      </c>
      <c r="M23" s="291">
        <v>0.6</v>
      </c>
      <c r="N23" s="291">
        <v>0.7</v>
      </c>
      <c r="O23" s="291">
        <v>0.8</v>
      </c>
      <c r="P23" s="291">
        <v>0.9</v>
      </c>
      <c r="Q23" s="290">
        <v>1</v>
      </c>
    </row>
    <row r="24" spans="2:17" ht="30" x14ac:dyDescent="0.25">
      <c r="B24" s="327" t="s">
        <v>311</v>
      </c>
      <c r="C24" s="328"/>
      <c r="F24" s="289" t="s">
        <v>310</v>
      </c>
      <c r="Q24" s="246"/>
    </row>
    <row r="25" spans="2:17" x14ac:dyDescent="0.25">
      <c r="F25" s="324">
        <v>1</v>
      </c>
      <c r="G25" s="325">
        <f t="shared" ref="G25:Q34" si="1">$C$15/(G$23*(($C$11*$F25)+$C$12))</f>
        <v>154.98302100484273</v>
      </c>
      <c r="H25" s="325">
        <f t="shared" si="1"/>
        <v>15.498302100484272</v>
      </c>
      <c r="I25" s="325">
        <f t="shared" si="1"/>
        <v>7.7491510502421361</v>
      </c>
      <c r="J25" s="325">
        <f t="shared" si="1"/>
        <v>5.1661007001614241</v>
      </c>
      <c r="K25" s="325">
        <f t="shared" si="1"/>
        <v>3.8745755251210681</v>
      </c>
      <c r="L25" s="325">
        <f t="shared" si="1"/>
        <v>3.0996604200968547</v>
      </c>
      <c r="M25" s="325">
        <f t="shared" si="1"/>
        <v>2.583050350080712</v>
      </c>
      <c r="N25" s="325">
        <f t="shared" si="1"/>
        <v>2.2140431572120391</v>
      </c>
      <c r="O25" s="325">
        <f t="shared" si="1"/>
        <v>1.937287762560534</v>
      </c>
      <c r="P25" s="325">
        <f t="shared" si="1"/>
        <v>1.7220335667204747</v>
      </c>
      <c r="Q25" s="325">
        <f t="shared" si="1"/>
        <v>1.5498302100484274</v>
      </c>
    </row>
    <row r="26" spans="2:17" x14ac:dyDescent="0.25">
      <c r="F26" s="324">
        <v>2</v>
      </c>
      <c r="G26" s="325">
        <f t="shared" si="1"/>
        <v>103.32201400322849</v>
      </c>
      <c r="H26" s="325">
        <f t="shared" si="1"/>
        <v>10.332201400322848</v>
      </c>
      <c r="I26" s="325">
        <f t="shared" si="1"/>
        <v>5.1661007001614241</v>
      </c>
      <c r="J26" s="325">
        <f t="shared" si="1"/>
        <v>3.4440671334409494</v>
      </c>
      <c r="K26" s="325">
        <f t="shared" si="1"/>
        <v>2.583050350080712</v>
      </c>
      <c r="L26" s="325">
        <f t="shared" si="1"/>
        <v>2.0664402800645698</v>
      </c>
      <c r="M26" s="325">
        <f t="shared" si="1"/>
        <v>1.7220335667204747</v>
      </c>
      <c r="N26" s="325">
        <f t="shared" si="1"/>
        <v>1.4760287714746927</v>
      </c>
      <c r="O26" s="325">
        <f t="shared" si="1"/>
        <v>1.291525175040356</v>
      </c>
      <c r="P26" s="325">
        <f t="shared" si="1"/>
        <v>1.1480223778136498</v>
      </c>
      <c r="Q26" s="325">
        <f t="shared" si="1"/>
        <v>1.0332201400322849</v>
      </c>
    </row>
    <row r="27" spans="2:17" x14ac:dyDescent="0.25">
      <c r="F27" s="324">
        <v>3</v>
      </c>
      <c r="G27" s="325">
        <f t="shared" si="1"/>
        <v>77.491510502421363</v>
      </c>
      <c r="H27" s="325">
        <f t="shared" si="1"/>
        <v>7.7491510502421361</v>
      </c>
      <c r="I27" s="325">
        <f t="shared" si="1"/>
        <v>3.8745755251210681</v>
      </c>
      <c r="J27" s="325">
        <f t="shared" si="1"/>
        <v>2.583050350080712</v>
      </c>
      <c r="K27" s="325">
        <f t="shared" si="1"/>
        <v>1.937287762560534</v>
      </c>
      <c r="L27" s="325">
        <f t="shared" si="1"/>
        <v>1.5498302100484274</v>
      </c>
      <c r="M27" s="325">
        <f t="shared" si="1"/>
        <v>1.291525175040356</v>
      </c>
      <c r="N27" s="325">
        <f t="shared" si="1"/>
        <v>1.1070215786060196</v>
      </c>
      <c r="O27" s="325">
        <f t="shared" si="1"/>
        <v>0.96864388128026702</v>
      </c>
      <c r="P27" s="325">
        <f t="shared" si="1"/>
        <v>0.86101678336023735</v>
      </c>
      <c r="Q27" s="325">
        <f t="shared" si="1"/>
        <v>0.77491510502421368</v>
      </c>
    </row>
    <row r="28" spans="2:17" x14ac:dyDescent="0.25">
      <c r="F28" s="324">
        <v>4</v>
      </c>
      <c r="G28" s="325">
        <f t="shared" si="1"/>
        <v>61.993208401937089</v>
      </c>
      <c r="H28" s="325">
        <f t="shared" si="1"/>
        <v>6.1993208401937094</v>
      </c>
      <c r="I28" s="325">
        <f t="shared" si="1"/>
        <v>3.0996604200968547</v>
      </c>
      <c r="J28" s="325">
        <f t="shared" si="1"/>
        <v>2.0664402800645698</v>
      </c>
      <c r="K28" s="325">
        <f t="shared" si="1"/>
        <v>1.5498302100484274</v>
      </c>
      <c r="L28" s="325">
        <f t="shared" si="1"/>
        <v>1.2398641680387419</v>
      </c>
      <c r="M28" s="325">
        <f t="shared" si="1"/>
        <v>1.0332201400322849</v>
      </c>
      <c r="N28" s="325">
        <f t="shared" si="1"/>
        <v>0.88561726288481557</v>
      </c>
      <c r="O28" s="325">
        <f t="shared" si="1"/>
        <v>0.77491510502421368</v>
      </c>
      <c r="P28" s="325">
        <f t="shared" si="1"/>
        <v>0.6888134266881899</v>
      </c>
      <c r="Q28" s="325">
        <f t="shared" si="1"/>
        <v>0.61993208401937094</v>
      </c>
    </row>
    <row r="29" spans="2:17" x14ac:dyDescent="0.25">
      <c r="F29" s="324">
        <v>5</v>
      </c>
      <c r="G29" s="325">
        <f t="shared" si="1"/>
        <v>51.661007001614244</v>
      </c>
      <c r="H29" s="325">
        <f t="shared" si="1"/>
        <v>5.1661007001614241</v>
      </c>
      <c r="I29" s="325">
        <f t="shared" si="1"/>
        <v>2.583050350080712</v>
      </c>
      <c r="J29" s="325">
        <f t="shared" si="1"/>
        <v>1.7220335667204747</v>
      </c>
      <c r="K29" s="325">
        <f t="shared" si="1"/>
        <v>1.291525175040356</v>
      </c>
      <c r="L29" s="325">
        <f t="shared" si="1"/>
        <v>1.0332201400322849</v>
      </c>
      <c r="M29" s="325">
        <f t="shared" si="1"/>
        <v>0.86101678336023735</v>
      </c>
      <c r="N29" s="325">
        <f t="shared" si="1"/>
        <v>0.73801438573734635</v>
      </c>
      <c r="O29" s="325">
        <f t="shared" si="1"/>
        <v>0.64576258752017801</v>
      </c>
      <c r="P29" s="325">
        <f t="shared" si="1"/>
        <v>0.5740111889068249</v>
      </c>
      <c r="Q29" s="325">
        <f t="shared" si="1"/>
        <v>0.51661007001614245</v>
      </c>
    </row>
    <row r="30" spans="2:17" x14ac:dyDescent="0.25">
      <c r="F30" s="324">
        <v>6</v>
      </c>
      <c r="G30" s="325">
        <f t="shared" si="1"/>
        <v>44.280863144240776</v>
      </c>
      <c r="H30" s="325">
        <f t="shared" si="1"/>
        <v>4.4280863144240783</v>
      </c>
      <c r="I30" s="325">
        <f t="shared" si="1"/>
        <v>2.2140431572120391</v>
      </c>
      <c r="J30" s="325">
        <f t="shared" si="1"/>
        <v>1.4760287714746927</v>
      </c>
      <c r="K30" s="325">
        <f t="shared" si="1"/>
        <v>1.1070215786060196</v>
      </c>
      <c r="L30" s="325">
        <f t="shared" si="1"/>
        <v>0.88561726288481557</v>
      </c>
      <c r="M30" s="325">
        <f t="shared" si="1"/>
        <v>0.73801438573734635</v>
      </c>
      <c r="N30" s="325">
        <f t="shared" si="1"/>
        <v>0.63258375920343979</v>
      </c>
      <c r="O30" s="325">
        <f t="shared" si="1"/>
        <v>0.55351078930300979</v>
      </c>
      <c r="P30" s="325">
        <f t="shared" si="1"/>
        <v>0.49200959049156423</v>
      </c>
      <c r="Q30" s="325">
        <f t="shared" si="1"/>
        <v>0.44280863144240779</v>
      </c>
    </row>
    <row r="31" spans="2:17" x14ac:dyDescent="0.25">
      <c r="F31" s="324">
        <v>7</v>
      </c>
      <c r="G31" s="325">
        <f t="shared" si="1"/>
        <v>38.745755251210682</v>
      </c>
      <c r="H31" s="325">
        <f t="shared" si="1"/>
        <v>3.8745755251210681</v>
      </c>
      <c r="I31" s="325">
        <f t="shared" si="1"/>
        <v>1.937287762560534</v>
      </c>
      <c r="J31" s="325">
        <f t="shared" si="1"/>
        <v>1.291525175040356</v>
      </c>
      <c r="K31" s="325">
        <f t="shared" si="1"/>
        <v>0.96864388128026702</v>
      </c>
      <c r="L31" s="325">
        <f t="shared" si="1"/>
        <v>0.77491510502421368</v>
      </c>
      <c r="M31" s="325">
        <f t="shared" si="1"/>
        <v>0.64576258752017801</v>
      </c>
      <c r="N31" s="325">
        <f t="shared" si="1"/>
        <v>0.55351078930300979</v>
      </c>
      <c r="O31" s="325">
        <f t="shared" si="1"/>
        <v>0.48432194064013351</v>
      </c>
      <c r="P31" s="325">
        <f t="shared" si="1"/>
        <v>0.43050839168011867</v>
      </c>
      <c r="Q31" s="325">
        <f t="shared" si="1"/>
        <v>0.38745755251210684</v>
      </c>
    </row>
    <row r="32" spans="2:17" x14ac:dyDescent="0.25">
      <c r="F32" s="324">
        <v>8</v>
      </c>
      <c r="G32" s="325">
        <f t="shared" si="1"/>
        <v>34.440671334409494</v>
      </c>
      <c r="H32" s="325">
        <f t="shared" si="1"/>
        <v>3.4440671334409494</v>
      </c>
      <c r="I32" s="325">
        <f t="shared" si="1"/>
        <v>1.7220335667204747</v>
      </c>
      <c r="J32" s="325">
        <f t="shared" si="1"/>
        <v>1.1480223778136498</v>
      </c>
      <c r="K32" s="325">
        <f t="shared" si="1"/>
        <v>0.86101678336023735</v>
      </c>
      <c r="L32" s="325">
        <f t="shared" si="1"/>
        <v>0.6888134266881899</v>
      </c>
      <c r="M32" s="325">
        <f t="shared" si="1"/>
        <v>0.5740111889068249</v>
      </c>
      <c r="N32" s="325">
        <f t="shared" si="1"/>
        <v>0.49200959049156423</v>
      </c>
      <c r="O32" s="325">
        <f t="shared" si="1"/>
        <v>0.43050839168011867</v>
      </c>
      <c r="P32" s="325">
        <f t="shared" si="1"/>
        <v>0.38267412593788325</v>
      </c>
      <c r="Q32" s="325">
        <f t="shared" si="1"/>
        <v>0.34440671334409495</v>
      </c>
    </row>
    <row r="33" spans="6:17" x14ac:dyDescent="0.25">
      <c r="F33" s="324">
        <v>9</v>
      </c>
      <c r="G33" s="325">
        <f t="shared" si="1"/>
        <v>30.996604200968545</v>
      </c>
      <c r="H33" s="325">
        <f t="shared" si="1"/>
        <v>3.0996604200968547</v>
      </c>
      <c r="I33" s="325">
        <f t="shared" si="1"/>
        <v>1.5498302100484274</v>
      </c>
      <c r="J33" s="325">
        <f t="shared" si="1"/>
        <v>1.0332201400322849</v>
      </c>
      <c r="K33" s="325">
        <f t="shared" si="1"/>
        <v>0.77491510502421368</v>
      </c>
      <c r="L33" s="325">
        <f t="shared" si="1"/>
        <v>0.61993208401937094</v>
      </c>
      <c r="M33" s="325">
        <f t="shared" si="1"/>
        <v>0.51661007001614245</v>
      </c>
      <c r="N33" s="325">
        <f t="shared" si="1"/>
        <v>0.44280863144240779</v>
      </c>
      <c r="O33" s="325">
        <f t="shared" si="1"/>
        <v>0.38745755251210684</v>
      </c>
      <c r="P33" s="325">
        <f t="shared" si="1"/>
        <v>0.34440671334409495</v>
      </c>
      <c r="Q33" s="325">
        <f t="shared" si="1"/>
        <v>0.30996604200968547</v>
      </c>
    </row>
    <row r="34" spans="6:17" ht="15.75" thickBot="1" x14ac:dyDescent="0.3">
      <c r="F34" s="326">
        <v>10</v>
      </c>
      <c r="G34" s="325">
        <f t="shared" si="1"/>
        <v>28.178731091789587</v>
      </c>
      <c r="H34" s="325">
        <f t="shared" si="1"/>
        <v>2.8178731091789588</v>
      </c>
      <c r="I34" s="325">
        <f t="shared" si="1"/>
        <v>1.4089365545894794</v>
      </c>
      <c r="J34" s="325">
        <f t="shared" si="1"/>
        <v>0.93929103639298617</v>
      </c>
      <c r="K34" s="325">
        <f t="shared" si="1"/>
        <v>0.70446827729473971</v>
      </c>
      <c r="L34" s="325">
        <f t="shared" si="1"/>
        <v>0.56357462183579177</v>
      </c>
      <c r="M34" s="325">
        <f t="shared" si="1"/>
        <v>0.46964551819649308</v>
      </c>
      <c r="N34" s="325">
        <f t="shared" si="1"/>
        <v>0.40255330131127981</v>
      </c>
      <c r="O34" s="325">
        <f t="shared" si="1"/>
        <v>0.35223413864736985</v>
      </c>
      <c r="P34" s="325">
        <f t="shared" si="1"/>
        <v>0.31309701213099539</v>
      </c>
      <c r="Q34" s="325">
        <f t="shared" si="1"/>
        <v>0.28178731091789588</v>
      </c>
    </row>
    <row r="37" spans="6:17" ht="15.75" thickBot="1" x14ac:dyDescent="0.3"/>
    <row r="38" spans="6:17" x14ac:dyDescent="0.25">
      <c r="F38" s="336" t="s">
        <v>313</v>
      </c>
      <c r="G38" s="337"/>
      <c r="H38" s="337"/>
      <c r="I38" s="337"/>
      <c r="J38" s="337"/>
      <c r="K38" s="337"/>
      <c r="L38" s="337"/>
      <c r="M38" s="337"/>
      <c r="N38" s="337"/>
      <c r="O38" s="337"/>
      <c r="P38" s="337"/>
      <c r="Q38" s="338"/>
    </row>
    <row r="39" spans="6:17" ht="15.75" thickBot="1" x14ac:dyDescent="0.3">
      <c r="F39" s="346"/>
      <c r="G39" s="344"/>
      <c r="H39" s="344"/>
      <c r="I39" s="344"/>
      <c r="J39" s="344"/>
      <c r="K39" s="344"/>
      <c r="L39" s="344"/>
      <c r="M39" s="344"/>
      <c r="N39" s="344"/>
      <c r="O39" s="344"/>
      <c r="P39" s="344"/>
      <c r="Q39" s="347"/>
    </row>
    <row r="40" spans="6:17" ht="15.75" thickBot="1" x14ac:dyDescent="0.3">
      <c r="F40" s="292" t="s">
        <v>309</v>
      </c>
      <c r="G40" s="291">
        <v>0.01</v>
      </c>
      <c r="H40" s="291">
        <v>0.1</v>
      </c>
      <c r="I40" s="291">
        <v>0.2</v>
      </c>
      <c r="J40" s="291">
        <v>0.3</v>
      </c>
      <c r="K40" s="291">
        <v>0.4</v>
      </c>
      <c r="L40" s="291">
        <v>0.5</v>
      </c>
      <c r="M40" s="291">
        <v>0.6</v>
      </c>
      <c r="N40" s="291">
        <v>0.7</v>
      </c>
      <c r="O40" s="291">
        <v>0.8</v>
      </c>
      <c r="P40" s="291">
        <v>0.9</v>
      </c>
      <c r="Q40" s="290">
        <v>1</v>
      </c>
    </row>
    <row r="41" spans="6:17" ht="30" x14ac:dyDescent="0.25">
      <c r="F41" s="289" t="s">
        <v>310</v>
      </c>
      <c r="Q41" s="246"/>
    </row>
    <row r="42" spans="6:17" x14ac:dyDescent="0.25">
      <c r="F42" s="324">
        <v>1</v>
      </c>
      <c r="G42" s="325">
        <f t="shared" ref="G42:Q51" si="2">$C$16/(G$40*(($C$10*$F42)+$C$12))</f>
        <v>267.83272297842598</v>
      </c>
      <c r="H42" s="325">
        <f t="shared" si="2"/>
        <v>26.783272297842597</v>
      </c>
      <c r="I42" s="325">
        <f t="shared" si="2"/>
        <v>13.391636148921298</v>
      </c>
      <c r="J42" s="325">
        <f t="shared" si="2"/>
        <v>8.9277574326142002</v>
      </c>
      <c r="K42" s="325">
        <f t="shared" si="2"/>
        <v>6.6958180744606492</v>
      </c>
      <c r="L42" s="325">
        <f t="shared" si="2"/>
        <v>5.3566544595685199</v>
      </c>
      <c r="M42" s="325">
        <f t="shared" si="2"/>
        <v>4.4638787163071001</v>
      </c>
      <c r="N42" s="325">
        <f t="shared" si="2"/>
        <v>3.8261817568346568</v>
      </c>
      <c r="O42" s="325">
        <f t="shared" si="2"/>
        <v>3.3479090372303246</v>
      </c>
      <c r="P42" s="325">
        <f t="shared" si="2"/>
        <v>2.9759191442047332</v>
      </c>
      <c r="Q42" s="325">
        <f t="shared" si="2"/>
        <v>2.67832722978426</v>
      </c>
    </row>
    <row r="43" spans="6:17" x14ac:dyDescent="0.25">
      <c r="F43" s="324">
        <v>2</v>
      </c>
      <c r="G43" s="325">
        <f t="shared" si="2"/>
        <v>140.29333108393743</v>
      </c>
      <c r="H43" s="325">
        <f t="shared" si="2"/>
        <v>14.029333108393741</v>
      </c>
      <c r="I43" s="325">
        <f t="shared" si="2"/>
        <v>7.0146665541968707</v>
      </c>
      <c r="J43" s="325">
        <f t="shared" si="2"/>
        <v>4.6764443694645808</v>
      </c>
      <c r="K43" s="325">
        <f t="shared" si="2"/>
        <v>3.5073332770984353</v>
      </c>
      <c r="L43" s="325">
        <f t="shared" si="2"/>
        <v>2.8058666216787485</v>
      </c>
      <c r="M43" s="325">
        <f t="shared" si="2"/>
        <v>2.3382221847322904</v>
      </c>
      <c r="N43" s="325">
        <f t="shared" si="2"/>
        <v>2.004190444056249</v>
      </c>
      <c r="O43" s="325">
        <f t="shared" si="2"/>
        <v>1.7536666385492177</v>
      </c>
      <c r="P43" s="325">
        <f t="shared" si="2"/>
        <v>1.558814789821527</v>
      </c>
      <c r="Q43" s="325">
        <f t="shared" si="2"/>
        <v>1.4029333108393742</v>
      </c>
    </row>
    <row r="44" spans="6:17" x14ac:dyDescent="0.25">
      <c r="F44" s="324">
        <v>3</v>
      </c>
      <c r="G44" s="325">
        <f t="shared" si="2"/>
        <v>95.037417831054384</v>
      </c>
      <c r="H44" s="325">
        <f t="shared" si="2"/>
        <v>9.503741783105438</v>
      </c>
      <c r="I44" s="325">
        <f t="shared" si="2"/>
        <v>4.751870891552719</v>
      </c>
      <c r="J44" s="325">
        <f t="shared" si="2"/>
        <v>3.1679139277018127</v>
      </c>
      <c r="K44" s="325">
        <f t="shared" si="2"/>
        <v>2.3759354457763595</v>
      </c>
      <c r="L44" s="325">
        <f t="shared" si="2"/>
        <v>1.9007483566210877</v>
      </c>
      <c r="M44" s="325">
        <f t="shared" si="2"/>
        <v>1.5839569638509063</v>
      </c>
      <c r="N44" s="325">
        <f t="shared" si="2"/>
        <v>1.3576773975864911</v>
      </c>
      <c r="O44" s="325">
        <f t="shared" si="2"/>
        <v>1.1879677228881798</v>
      </c>
      <c r="P44" s="325">
        <f t="shared" si="2"/>
        <v>1.0559713092339376</v>
      </c>
      <c r="Q44" s="325">
        <f t="shared" si="2"/>
        <v>0.95037417831054383</v>
      </c>
    </row>
    <row r="45" spans="6:17" x14ac:dyDescent="0.25">
      <c r="F45" s="324">
        <v>4</v>
      </c>
      <c r="G45" s="325">
        <f t="shared" si="2"/>
        <v>71.857559823480145</v>
      </c>
      <c r="H45" s="325">
        <f t="shared" si="2"/>
        <v>7.1857559823480139</v>
      </c>
      <c r="I45" s="325">
        <f t="shared" si="2"/>
        <v>3.592877991174007</v>
      </c>
      <c r="J45" s="325">
        <f t="shared" si="2"/>
        <v>2.3952519941160046</v>
      </c>
      <c r="K45" s="325">
        <f t="shared" si="2"/>
        <v>1.7964389955870035</v>
      </c>
      <c r="L45" s="325">
        <f t="shared" si="2"/>
        <v>1.4371511964696029</v>
      </c>
      <c r="M45" s="325">
        <f t="shared" si="2"/>
        <v>1.1976259970580023</v>
      </c>
      <c r="N45" s="325">
        <f t="shared" si="2"/>
        <v>1.0265365689068593</v>
      </c>
      <c r="O45" s="325">
        <f t="shared" si="2"/>
        <v>0.89821949779350174</v>
      </c>
      <c r="P45" s="325">
        <f t="shared" si="2"/>
        <v>0.79841733137200155</v>
      </c>
      <c r="Q45" s="325">
        <f t="shared" si="2"/>
        <v>0.71857559823480144</v>
      </c>
    </row>
    <row r="46" spans="6:17" x14ac:dyDescent="0.25">
      <c r="F46" s="324">
        <v>5</v>
      </c>
      <c r="G46" s="325">
        <f t="shared" si="2"/>
        <v>57.767842211033056</v>
      </c>
      <c r="H46" s="325">
        <f t="shared" si="2"/>
        <v>5.7767842211033056</v>
      </c>
      <c r="I46" s="325">
        <f t="shared" si="2"/>
        <v>2.8883921105516528</v>
      </c>
      <c r="J46" s="325">
        <f t="shared" si="2"/>
        <v>1.9255947403677685</v>
      </c>
      <c r="K46" s="325">
        <f t="shared" si="2"/>
        <v>1.4441960552758264</v>
      </c>
      <c r="L46" s="325">
        <f t="shared" si="2"/>
        <v>1.1553568442206612</v>
      </c>
      <c r="M46" s="325">
        <f t="shared" si="2"/>
        <v>0.96279737018388423</v>
      </c>
      <c r="N46" s="325">
        <f t="shared" si="2"/>
        <v>0.82525488872904362</v>
      </c>
      <c r="O46" s="325">
        <f t="shared" si="2"/>
        <v>0.7220980276379132</v>
      </c>
      <c r="P46" s="325">
        <f t="shared" si="2"/>
        <v>0.64186491345592289</v>
      </c>
      <c r="Q46" s="325">
        <f t="shared" si="2"/>
        <v>0.5776784221103306</v>
      </c>
    </row>
    <row r="47" spans="6:17" x14ac:dyDescent="0.25">
      <c r="F47" s="324">
        <v>6</v>
      </c>
      <c r="G47" s="325">
        <f t="shared" si="2"/>
        <v>48.297704143650591</v>
      </c>
      <c r="H47" s="325">
        <f t="shared" si="2"/>
        <v>4.8297704143650586</v>
      </c>
      <c r="I47" s="325">
        <f t="shared" si="2"/>
        <v>2.4148852071825293</v>
      </c>
      <c r="J47" s="325">
        <f t="shared" si="2"/>
        <v>1.6099234714550197</v>
      </c>
      <c r="K47" s="325">
        <f t="shared" si="2"/>
        <v>1.2074426035912647</v>
      </c>
      <c r="L47" s="325">
        <f t="shared" si="2"/>
        <v>0.96595408287301177</v>
      </c>
      <c r="M47" s="325">
        <f t="shared" si="2"/>
        <v>0.80496173572750984</v>
      </c>
      <c r="N47" s="325">
        <f t="shared" si="2"/>
        <v>0.68996720205215123</v>
      </c>
      <c r="O47" s="325">
        <f t="shared" si="2"/>
        <v>0.60372130179563233</v>
      </c>
      <c r="P47" s="325">
        <f t="shared" si="2"/>
        <v>0.53664115715167315</v>
      </c>
      <c r="Q47" s="325">
        <f t="shared" si="2"/>
        <v>0.48297704143650588</v>
      </c>
    </row>
    <row r="48" spans="6:17" x14ac:dyDescent="0.25">
      <c r="F48" s="324">
        <v>7</v>
      </c>
      <c r="G48" s="325">
        <f t="shared" si="2"/>
        <v>41.495210602291351</v>
      </c>
      <c r="H48" s="325">
        <f t="shared" si="2"/>
        <v>4.1495210602291346</v>
      </c>
      <c r="I48" s="325">
        <f t="shared" si="2"/>
        <v>2.0747605301145673</v>
      </c>
      <c r="J48" s="325">
        <f t="shared" si="2"/>
        <v>1.3831736867430451</v>
      </c>
      <c r="K48" s="325">
        <f t="shared" si="2"/>
        <v>1.0373802650572836</v>
      </c>
      <c r="L48" s="325">
        <f t="shared" si="2"/>
        <v>0.82990421204582698</v>
      </c>
      <c r="M48" s="325">
        <f t="shared" si="2"/>
        <v>0.69158684337152254</v>
      </c>
      <c r="N48" s="325">
        <f t="shared" si="2"/>
        <v>0.59278872288987638</v>
      </c>
      <c r="O48" s="325">
        <f t="shared" si="2"/>
        <v>0.51869013252864182</v>
      </c>
      <c r="P48" s="325">
        <f t="shared" si="2"/>
        <v>0.46105789558101501</v>
      </c>
      <c r="Q48" s="325">
        <f t="shared" si="2"/>
        <v>0.41495210602291349</v>
      </c>
    </row>
    <row r="49" spans="6:17" x14ac:dyDescent="0.25">
      <c r="F49" s="324">
        <v>8</v>
      </c>
      <c r="G49" s="325">
        <f t="shared" si="2"/>
        <v>36.372345095835627</v>
      </c>
      <c r="H49" s="325">
        <f t="shared" si="2"/>
        <v>3.6372345095835628</v>
      </c>
      <c r="I49" s="325">
        <f t="shared" si="2"/>
        <v>1.8186172547917814</v>
      </c>
      <c r="J49" s="325">
        <f t="shared" si="2"/>
        <v>1.2124115031945208</v>
      </c>
      <c r="K49" s="325">
        <f t="shared" si="2"/>
        <v>0.90930862739589069</v>
      </c>
      <c r="L49" s="325">
        <f t="shared" si="2"/>
        <v>0.72744690191671257</v>
      </c>
      <c r="M49" s="325">
        <f t="shared" si="2"/>
        <v>0.60620575159726042</v>
      </c>
      <c r="N49" s="325">
        <f t="shared" si="2"/>
        <v>0.519604929940509</v>
      </c>
      <c r="O49" s="325">
        <f t="shared" si="2"/>
        <v>0.45465431369794534</v>
      </c>
      <c r="P49" s="325">
        <f t="shared" si="2"/>
        <v>0.40413716773150699</v>
      </c>
      <c r="Q49" s="325">
        <f t="shared" si="2"/>
        <v>0.36372345095835629</v>
      </c>
    </row>
    <row r="50" spans="6:17" x14ac:dyDescent="0.25">
      <c r="F50" s="324">
        <v>9</v>
      </c>
      <c r="G50" s="325">
        <f t="shared" si="2"/>
        <v>32.375384096293253</v>
      </c>
      <c r="H50" s="325">
        <f t="shared" si="2"/>
        <v>3.2375384096293249</v>
      </c>
      <c r="I50" s="325">
        <f t="shared" si="2"/>
        <v>1.6187692048146625</v>
      </c>
      <c r="J50" s="325">
        <f t="shared" si="2"/>
        <v>1.0791794698764416</v>
      </c>
      <c r="K50" s="325">
        <f t="shared" si="2"/>
        <v>0.80938460240733123</v>
      </c>
      <c r="L50" s="325">
        <f t="shared" si="2"/>
        <v>0.64750768192586505</v>
      </c>
      <c r="M50" s="325">
        <f t="shared" si="2"/>
        <v>0.53958973493822082</v>
      </c>
      <c r="N50" s="325">
        <f t="shared" si="2"/>
        <v>0.46250548708990358</v>
      </c>
      <c r="O50" s="325">
        <f t="shared" si="2"/>
        <v>0.40469230120366562</v>
      </c>
      <c r="P50" s="325">
        <f t="shared" si="2"/>
        <v>0.3597264899588139</v>
      </c>
      <c r="Q50" s="325">
        <f t="shared" si="2"/>
        <v>0.32375384096293253</v>
      </c>
    </row>
    <row r="51" spans="6:17" ht="15.75" thickBot="1" x14ac:dyDescent="0.3">
      <c r="F51" s="326">
        <v>10</v>
      </c>
      <c r="G51" s="325">
        <f t="shared" si="2"/>
        <v>29.16990052240283</v>
      </c>
      <c r="H51" s="325">
        <f t="shared" si="2"/>
        <v>2.916990052240283</v>
      </c>
      <c r="I51" s="325">
        <f t="shared" si="2"/>
        <v>1.4584950261201415</v>
      </c>
      <c r="J51" s="325">
        <f t="shared" si="2"/>
        <v>0.97233001741342773</v>
      </c>
      <c r="K51" s="325">
        <f t="shared" si="2"/>
        <v>0.72924751306007074</v>
      </c>
      <c r="L51" s="325">
        <f t="shared" si="2"/>
        <v>0.58339801044805661</v>
      </c>
      <c r="M51" s="325">
        <f t="shared" si="2"/>
        <v>0.48616500870671386</v>
      </c>
      <c r="N51" s="325">
        <f t="shared" si="2"/>
        <v>0.41671286460575474</v>
      </c>
      <c r="O51" s="325">
        <f t="shared" si="2"/>
        <v>0.36462375653003537</v>
      </c>
      <c r="P51" s="325">
        <f t="shared" si="2"/>
        <v>0.32411000580447591</v>
      </c>
      <c r="Q51" s="325">
        <f t="shared" si="2"/>
        <v>0.29169900522402831</v>
      </c>
    </row>
    <row r="54" spans="6:17" ht="15.75" thickBot="1" x14ac:dyDescent="0.3"/>
    <row r="55" spans="6:17" x14ac:dyDescent="0.25">
      <c r="F55" s="336" t="s">
        <v>314</v>
      </c>
      <c r="G55" s="337"/>
      <c r="H55" s="337"/>
      <c r="I55" s="337"/>
      <c r="J55" s="337"/>
      <c r="K55" s="337"/>
      <c r="L55" s="337"/>
      <c r="M55" s="337"/>
      <c r="N55" s="337"/>
      <c r="O55" s="337"/>
      <c r="P55" s="337"/>
      <c r="Q55" s="338"/>
    </row>
    <row r="56" spans="6:17" ht="15.75" thickBot="1" x14ac:dyDescent="0.3">
      <c r="F56" s="346"/>
      <c r="G56" s="344"/>
      <c r="H56" s="344"/>
      <c r="I56" s="344"/>
      <c r="J56" s="344"/>
      <c r="K56" s="344"/>
      <c r="L56" s="344"/>
      <c r="M56" s="344"/>
      <c r="N56" s="344"/>
      <c r="O56" s="344"/>
      <c r="P56" s="344"/>
      <c r="Q56" s="347"/>
    </row>
    <row r="57" spans="6:17" ht="15.75" thickBot="1" x14ac:dyDescent="0.3">
      <c r="F57" s="292" t="s">
        <v>309</v>
      </c>
      <c r="G57" s="291">
        <v>0.01</v>
      </c>
      <c r="H57" s="291">
        <v>0.1</v>
      </c>
      <c r="I57" s="291">
        <v>0.2</v>
      </c>
      <c r="J57" s="291">
        <v>0.3</v>
      </c>
      <c r="K57" s="291">
        <v>0.4</v>
      </c>
      <c r="L57" s="291">
        <v>0.5</v>
      </c>
      <c r="M57" s="291">
        <v>0.6</v>
      </c>
      <c r="N57" s="291">
        <v>0.7</v>
      </c>
      <c r="O57" s="291">
        <v>0.8</v>
      </c>
      <c r="P57" s="291">
        <v>0.9</v>
      </c>
      <c r="Q57" s="290">
        <v>1</v>
      </c>
    </row>
    <row r="58" spans="6:17" ht="30" x14ac:dyDescent="0.25">
      <c r="F58" s="289" t="s">
        <v>310</v>
      </c>
      <c r="Q58" s="246"/>
    </row>
    <row r="59" spans="6:17" x14ac:dyDescent="0.25">
      <c r="F59" s="324">
        <v>1</v>
      </c>
      <c r="G59" s="325">
        <f t="shared" ref="G59:Q68" si="3">$C$17/(G$57*(($C$10*$F59)+$C$12))</f>
        <v>12.756398054901258</v>
      </c>
      <c r="H59" s="325">
        <f t="shared" si="3"/>
        <v>1.2756398054901259</v>
      </c>
      <c r="I59" s="325">
        <f t="shared" si="3"/>
        <v>0.63781990274506295</v>
      </c>
      <c r="J59" s="325">
        <f t="shared" si="3"/>
        <v>0.4252132684967086</v>
      </c>
      <c r="K59" s="325">
        <f t="shared" si="3"/>
        <v>0.31890995137253147</v>
      </c>
      <c r="L59" s="325">
        <f t="shared" si="3"/>
        <v>0.25512796109802516</v>
      </c>
      <c r="M59" s="325">
        <f t="shared" si="3"/>
        <v>0.2126066342483543</v>
      </c>
      <c r="N59" s="325">
        <f t="shared" si="3"/>
        <v>0.18223425792716083</v>
      </c>
      <c r="O59" s="325">
        <f t="shared" si="3"/>
        <v>0.15945497568626574</v>
      </c>
      <c r="P59" s="325">
        <f t="shared" si="3"/>
        <v>0.14173775616556952</v>
      </c>
      <c r="Q59" s="325">
        <f t="shared" si="3"/>
        <v>0.12756398054901258</v>
      </c>
    </row>
    <row r="60" spans="6:17" x14ac:dyDescent="0.25">
      <c r="F60" s="324">
        <v>2</v>
      </c>
      <c r="G60" s="325">
        <f t="shared" si="3"/>
        <v>6.681922790662564</v>
      </c>
      <c r="H60" s="325">
        <f t="shared" si="3"/>
        <v>0.66819227906625633</v>
      </c>
      <c r="I60" s="325">
        <f t="shared" si="3"/>
        <v>0.33409613953312817</v>
      </c>
      <c r="J60" s="325">
        <f t="shared" si="3"/>
        <v>0.22273075968875211</v>
      </c>
      <c r="K60" s="325">
        <f t="shared" si="3"/>
        <v>0.16704806976656408</v>
      </c>
      <c r="L60" s="325">
        <f t="shared" si="3"/>
        <v>0.13363845581325126</v>
      </c>
      <c r="M60" s="325">
        <f t="shared" si="3"/>
        <v>0.11136537984437606</v>
      </c>
      <c r="N60" s="325">
        <f t="shared" si="3"/>
        <v>9.5456039866608056E-2</v>
      </c>
      <c r="O60" s="325">
        <f t="shared" si="3"/>
        <v>8.3524034883282042E-2</v>
      </c>
      <c r="P60" s="325">
        <f t="shared" si="3"/>
        <v>7.424358656291738E-2</v>
      </c>
      <c r="Q60" s="325">
        <f t="shared" si="3"/>
        <v>6.6819227906625631E-2</v>
      </c>
    </row>
    <row r="61" spans="6:17" x14ac:dyDescent="0.25">
      <c r="F61" s="324">
        <v>3</v>
      </c>
      <c r="G61" s="325">
        <f t="shared" si="3"/>
        <v>4.5264638259327041</v>
      </c>
      <c r="H61" s="325">
        <f t="shared" si="3"/>
        <v>0.45264638259327045</v>
      </c>
      <c r="I61" s="325">
        <f t="shared" si="3"/>
        <v>0.22632319129663522</v>
      </c>
      <c r="J61" s="325">
        <f t="shared" si="3"/>
        <v>0.15088212753109015</v>
      </c>
      <c r="K61" s="325">
        <f t="shared" si="3"/>
        <v>0.11316159564831761</v>
      </c>
      <c r="L61" s="325">
        <f t="shared" si="3"/>
        <v>9.0529276518654084E-2</v>
      </c>
      <c r="M61" s="325">
        <f t="shared" si="3"/>
        <v>7.5441063765545074E-2</v>
      </c>
      <c r="N61" s="325">
        <f t="shared" si="3"/>
        <v>6.466376894189578E-2</v>
      </c>
      <c r="O61" s="325">
        <f t="shared" si="3"/>
        <v>5.6580797824158806E-2</v>
      </c>
      <c r="P61" s="325">
        <f t="shared" si="3"/>
        <v>5.0294042510363381E-2</v>
      </c>
      <c r="Q61" s="325">
        <f t="shared" si="3"/>
        <v>4.5264638259327042E-2</v>
      </c>
    </row>
    <row r="62" spans="6:17" x14ac:dyDescent="0.25">
      <c r="F62" s="324">
        <v>4</v>
      </c>
      <c r="G62" s="325">
        <f t="shared" si="3"/>
        <v>3.4224482586320448</v>
      </c>
      <c r="H62" s="325">
        <f t="shared" si="3"/>
        <v>0.34224482586320448</v>
      </c>
      <c r="I62" s="325">
        <f t="shared" si="3"/>
        <v>0.17112241293160224</v>
      </c>
      <c r="J62" s="325">
        <f t="shared" si="3"/>
        <v>0.11408160862106816</v>
      </c>
      <c r="K62" s="325">
        <f t="shared" si="3"/>
        <v>8.5561206465801121E-2</v>
      </c>
      <c r="L62" s="325">
        <f t="shared" si="3"/>
        <v>6.8448965172640902E-2</v>
      </c>
      <c r="M62" s="325">
        <f t="shared" si="3"/>
        <v>5.7040804310534078E-2</v>
      </c>
      <c r="N62" s="325">
        <f t="shared" si="3"/>
        <v>4.8892117980457783E-2</v>
      </c>
      <c r="O62" s="325">
        <f t="shared" si="3"/>
        <v>4.278060323290056E-2</v>
      </c>
      <c r="P62" s="325">
        <f t="shared" si="3"/>
        <v>3.8027202873689388E-2</v>
      </c>
      <c r="Q62" s="325">
        <f t="shared" si="3"/>
        <v>3.4224482586320451E-2</v>
      </c>
    </row>
    <row r="63" spans="6:17" x14ac:dyDescent="0.25">
      <c r="F63" s="324">
        <v>5</v>
      </c>
      <c r="G63" s="325">
        <f t="shared" si="3"/>
        <v>2.7513799726257617</v>
      </c>
      <c r="H63" s="325">
        <f t="shared" si="3"/>
        <v>0.27513799726257615</v>
      </c>
      <c r="I63" s="325">
        <f t="shared" si="3"/>
        <v>0.13756899863128808</v>
      </c>
      <c r="J63" s="325">
        <f t="shared" si="3"/>
        <v>9.1712665754192055E-2</v>
      </c>
      <c r="K63" s="325">
        <f t="shared" si="3"/>
        <v>6.8784499315644038E-2</v>
      </c>
      <c r="L63" s="325">
        <f t="shared" si="3"/>
        <v>5.502759945251523E-2</v>
      </c>
      <c r="M63" s="325">
        <f t="shared" si="3"/>
        <v>4.5856332877096027E-2</v>
      </c>
      <c r="N63" s="325">
        <f t="shared" si="3"/>
        <v>3.9305428180368022E-2</v>
      </c>
      <c r="O63" s="325">
        <f t="shared" si="3"/>
        <v>3.4392249657822019E-2</v>
      </c>
      <c r="P63" s="325">
        <f t="shared" si="3"/>
        <v>3.0570888584730685E-2</v>
      </c>
      <c r="Q63" s="325">
        <f t="shared" si="3"/>
        <v>2.7513799726257615E-2</v>
      </c>
    </row>
    <row r="64" spans="6:17" x14ac:dyDescent="0.25">
      <c r="F64" s="324">
        <v>6</v>
      </c>
      <c r="G64" s="325">
        <f t="shared" si="3"/>
        <v>2.3003340754739972</v>
      </c>
      <c r="H64" s="325">
        <f t="shared" si="3"/>
        <v>0.23003340754739973</v>
      </c>
      <c r="I64" s="325">
        <f t="shared" si="3"/>
        <v>0.11501670377369987</v>
      </c>
      <c r="J64" s="325">
        <f t="shared" si="3"/>
        <v>7.6677802515799906E-2</v>
      </c>
      <c r="K64" s="325">
        <f t="shared" si="3"/>
        <v>5.7508351886849933E-2</v>
      </c>
      <c r="L64" s="325">
        <f t="shared" si="3"/>
        <v>4.6006681509479945E-2</v>
      </c>
      <c r="M64" s="325">
        <f t="shared" si="3"/>
        <v>3.8338901257899953E-2</v>
      </c>
      <c r="N64" s="325">
        <f t="shared" si="3"/>
        <v>3.2861915363914244E-2</v>
      </c>
      <c r="O64" s="325">
        <f t="shared" si="3"/>
        <v>2.8754175943424966E-2</v>
      </c>
      <c r="P64" s="325">
        <f t="shared" si="3"/>
        <v>2.5559267505266638E-2</v>
      </c>
      <c r="Q64" s="325">
        <f t="shared" si="3"/>
        <v>2.3003340754739973E-2</v>
      </c>
    </row>
    <row r="65" spans="6:17" x14ac:dyDescent="0.25">
      <c r="F65" s="324">
        <v>7</v>
      </c>
      <c r="G65" s="325">
        <f t="shared" si="3"/>
        <v>1.9763433606185048</v>
      </c>
      <c r="H65" s="325">
        <f t="shared" si="3"/>
        <v>0.19763433606185046</v>
      </c>
      <c r="I65" s="325">
        <f t="shared" si="3"/>
        <v>9.8817168030925231E-2</v>
      </c>
      <c r="J65" s="325">
        <f t="shared" si="3"/>
        <v>6.587811202061683E-2</v>
      </c>
      <c r="K65" s="325">
        <f t="shared" si="3"/>
        <v>4.9408584015462616E-2</v>
      </c>
      <c r="L65" s="325">
        <f t="shared" si="3"/>
        <v>3.9526867212370094E-2</v>
      </c>
      <c r="M65" s="325">
        <f t="shared" si="3"/>
        <v>3.2939056010308415E-2</v>
      </c>
      <c r="N65" s="325">
        <f t="shared" si="3"/>
        <v>2.8233476580264354E-2</v>
      </c>
      <c r="O65" s="325">
        <f t="shared" si="3"/>
        <v>2.4704292007731308E-2</v>
      </c>
      <c r="P65" s="325">
        <f t="shared" si="3"/>
        <v>2.1959370673538942E-2</v>
      </c>
      <c r="Q65" s="325">
        <f t="shared" si="3"/>
        <v>1.9763433606185047E-2</v>
      </c>
    </row>
    <row r="66" spans="6:17" x14ac:dyDescent="0.25">
      <c r="F66" s="324">
        <v>8</v>
      </c>
      <c r="G66" s="325">
        <f t="shared" si="3"/>
        <v>1.7323503531347388</v>
      </c>
      <c r="H66" s="325">
        <f t="shared" si="3"/>
        <v>0.17323503531347387</v>
      </c>
      <c r="I66" s="325">
        <f t="shared" si="3"/>
        <v>8.6617517656736934E-2</v>
      </c>
      <c r="J66" s="325">
        <f t="shared" si="3"/>
        <v>5.7745011771157956E-2</v>
      </c>
      <c r="K66" s="325">
        <f t="shared" si="3"/>
        <v>4.3308758828368467E-2</v>
      </c>
      <c r="L66" s="325">
        <f t="shared" si="3"/>
        <v>3.4647007062694773E-2</v>
      </c>
      <c r="M66" s="325">
        <f t="shared" si="3"/>
        <v>2.8872505885578978E-2</v>
      </c>
      <c r="N66" s="325">
        <f t="shared" si="3"/>
        <v>2.4747862187639125E-2</v>
      </c>
      <c r="O66" s="325">
        <f t="shared" si="3"/>
        <v>2.1654379414184233E-2</v>
      </c>
      <c r="P66" s="325">
        <f t="shared" si="3"/>
        <v>1.9248337257052654E-2</v>
      </c>
      <c r="Q66" s="325">
        <f t="shared" si="3"/>
        <v>1.7323503531347387E-2</v>
      </c>
    </row>
    <row r="67" spans="6:17" x14ac:dyDescent="0.25">
      <c r="F67" s="324">
        <v>9</v>
      </c>
      <c r="G67" s="325">
        <f t="shared" si="3"/>
        <v>1.5419821824605917</v>
      </c>
      <c r="H67" s="325">
        <f t="shared" si="3"/>
        <v>0.15419821824605917</v>
      </c>
      <c r="I67" s="325">
        <f t="shared" si="3"/>
        <v>7.7099109123029586E-2</v>
      </c>
      <c r="J67" s="325">
        <f t="shared" si="3"/>
        <v>5.1399406082019719E-2</v>
      </c>
      <c r="K67" s="325">
        <f t="shared" si="3"/>
        <v>3.8549554561514793E-2</v>
      </c>
      <c r="L67" s="325">
        <f t="shared" si="3"/>
        <v>3.0839643649211834E-2</v>
      </c>
      <c r="M67" s="325">
        <f t="shared" si="3"/>
        <v>2.569970304100986E-2</v>
      </c>
      <c r="N67" s="325">
        <f t="shared" si="3"/>
        <v>2.2028316892294165E-2</v>
      </c>
      <c r="O67" s="325">
        <f t="shared" si="3"/>
        <v>1.9274777280757396E-2</v>
      </c>
      <c r="P67" s="325">
        <f t="shared" si="3"/>
        <v>1.7133135360673242E-2</v>
      </c>
      <c r="Q67" s="325">
        <f t="shared" si="3"/>
        <v>1.5419821824605917E-2</v>
      </c>
    </row>
    <row r="68" spans="6:17" ht="15.75" thickBot="1" x14ac:dyDescent="0.3">
      <c r="F68" s="326">
        <v>10</v>
      </c>
      <c r="G68" s="325">
        <f t="shared" si="3"/>
        <v>1.3893106792466716</v>
      </c>
      <c r="H68" s="325">
        <f t="shared" si="3"/>
        <v>0.13893106792466717</v>
      </c>
      <c r="I68" s="325">
        <f t="shared" si="3"/>
        <v>6.9465533962333584E-2</v>
      </c>
      <c r="J68" s="325">
        <f t="shared" si="3"/>
        <v>4.6310355974889056E-2</v>
      </c>
      <c r="K68" s="325">
        <f t="shared" si="3"/>
        <v>3.4732766981166792E-2</v>
      </c>
      <c r="L68" s="325">
        <f t="shared" si="3"/>
        <v>2.7786213584933432E-2</v>
      </c>
      <c r="M68" s="325">
        <f t="shared" si="3"/>
        <v>2.3155177987444528E-2</v>
      </c>
      <c r="N68" s="325">
        <f t="shared" si="3"/>
        <v>1.9847295417809597E-2</v>
      </c>
      <c r="O68" s="325">
        <f t="shared" si="3"/>
        <v>1.7366383490583396E-2</v>
      </c>
      <c r="P68" s="325">
        <f t="shared" si="3"/>
        <v>1.5436785324963018E-2</v>
      </c>
      <c r="Q68" s="325">
        <f t="shared" si="3"/>
        <v>1.3893106792466716E-2</v>
      </c>
    </row>
    <row r="71" spans="6:17" ht="15.75" thickBot="1" x14ac:dyDescent="0.3"/>
    <row r="72" spans="6:17" x14ac:dyDescent="0.25">
      <c r="F72" s="336" t="s">
        <v>315</v>
      </c>
      <c r="G72" s="337"/>
      <c r="H72" s="337"/>
      <c r="I72" s="337"/>
      <c r="J72" s="337"/>
      <c r="K72" s="337"/>
      <c r="L72" s="337"/>
      <c r="M72" s="337"/>
      <c r="N72" s="337"/>
      <c r="O72" s="337"/>
      <c r="P72" s="337"/>
      <c r="Q72" s="338"/>
    </row>
    <row r="73" spans="6:17" ht="15.75" thickBot="1" x14ac:dyDescent="0.3">
      <c r="F73" s="346"/>
      <c r="G73" s="344"/>
      <c r="H73" s="344"/>
      <c r="I73" s="344"/>
      <c r="J73" s="344"/>
      <c r="K73" s="344"/>
      <c r="L73" s="344"/>
      <c r="M73" s="344"/>
      <c r="N73" s="344"/>
      <c r="O73" s="344"/>
      <c r="P73" s="344"/>
      <c r="Q73" s="347"/>
    </row>
    <row r="74" spans="6:17" ht="15.75" thickBot="1" x14ac:dyDescent="0.3">
      <c r="F74" s="292" t="s">
        <v>309</v>
      </c>
      <c r="G74" s="291">
        <v>0.01</v>
      </c>
      <c r="H74" s="291">
        <v>0.1</v>
      </c>
      <c r="I74" s="291">
        <v>0.2</v>
      </c>
      <c r="J74" s="291">
        <v>0.3</v>
      </c>
      <c r="K74" s="291">
        <v>0.4</v>
      </c>
      <c r="L74" s="291">
        <v>0.5</v>
      </c>
      <c r="M74" s="291">
        <v>0.6</v>
      </c>
      <c r="N74" s="291">
        <v>0.7</v>
      </c>
      <c r="O74" s="291">
        <v>0.8</v>
      </c>
      <c r="P74" s="291">
        <v>0.9</v>
      </c>
      <c r="Q74" s="290">
        <v>1</v>
      </c>
    </row>
    <row r="75" spans="6:17" ht="30" x14ac:dyDescent="0.25">
      <c r="F75" s="289" t="s">
        <v>310</v>
      </c>
      <c r="Q75" s="246"/>
    </row>
    <row r="76" spans="6:17" x14ac:dyDescent="0.25">
      <c r="F76" s="324">
        <v>1</v>
      </c>
      <c r="G76" s="325">
        <f t="shared" ref="G76:Q85" si="4">$C$18/(G$74*(($C$10*$F76)+$C$12))</f>
        <v>112.00818356110413</v>
      </c>
      <c r="H76" s="325">
        <f t="shared" si="4"/>
        <v>11.200818356110414</v>
      </c>
      <c r="I76" s="325">
        <f t="shared" si="4"/>
        <v>5.600409178055207</v>
      </c>
      <c r="J76" s="325">
        <f t="shared" si="4"/>
        <v>3.733606118703471</v>
      </c>
      <c r="K76" s="325">
        <f t="shared" si="4"/>
        <v>2.8002045890276035</v>
      </c>
      <c r="L76" s="325">
        <f t="shared" si="4"/>
        <v>2.2401636712220827</v>
      </c>
      <c r="M76" s="325">
        <f t="shared" si="4"/>
        <v>1.8668030593517355</v>
      </c>
      <c r="N76" s="325">
        <f t="shared" si="4"/>
        <v>1.6001169080157733</v>
      </c>
      <c r="O76" s="325">
        <f t="shared" si="4"/>
        <v>1.4001022945138017</v>
      </c>
      <c r="P76" s="325">
        <f t="shared" si="4"/>
        <v>1.244535372901157</v>
      </c>
      <c r="Q76" s="325">
        <f t="shared" si="4"/>
        <v>1.1200818356110414</v>
      </c>
    </row>
    <row r="77" spans="6:17" x14ac:dyDescent="0.25">
      <c r="F77" s="324">
        <v>2</v>
      </c>
      <c r="G77" s="325">
        <f t="shared" si="4"/>
        <v>58.670953293911694</v>
      </c>
      <c r="H77" s="325">
        <f t="shared" si="4"/>
        <v>5.8670953293911694</v>
      </c>
      <c r="I77" s="325">
        <f t="shared" si="4"/>
        <v>2.9335476646955847</v>
      </c>
      <c r="J77" s="325">
        <f t="shared" si="4"/>
        <v>1.9556984431303897</v>
      </c>
      <c r="K77" s="325">
        <f t="shared" si="4"/>
        <v>1.4667738323477924</v>
      </c>
      <c r="L77" s="325">
        <f t="shared" si="4"/>
        <v>1.1734190658782337</v>
      </c>
      <c r="M77" s="325">
        <f t="shared" si="4"/>
        <v>0.97784922156519483</v>
      </c>
      <c r="N77" s="325">
        <f t="shared" si="4"/>
        <v>0.83815647562730988</v>
      </c>
      <c r="O77" s="325">
        <f t="shared" si="4"/>
        <v>0.73338691617389618</v>
      </c>
      <c r="P77" s="325">
        <f t="shared" si="4"/>
        <v>0.65189948104346318</v>
      </c>
      <c r="Q77" s="325">
        <f t="shared" si="4"/>
        <v>0.58670953293911687</v>
      </c>
    </row>
    <row r="78" spans="6:17" x14ac:dyDescent="0.25">
      <c r="F78" s="324">
        <v>3</v>
      </c>
      <c r="G78" s="325">
        <f t="shared" si="4"/>
        <v>39.744839328133729</v>
      </c>
      <c r="H78" s="325">
        <f t="shared" si="4"/>
        <v>3.9744839328133725</v>
      </c>
      <c r="I78" s="325">
        <f t="shared" si="4"/>
        <v>1.9872419664066863</v>
      </c>
      <c r="J78" s="325">
        <f t="shared" si="4"/>
        <v>1.3248279776044576</v>
      </c>
      <c r="K78" s="325">
        <f t="shared" si="4"/>
        <v>0.99362098320334313</v>
      </c>
      <c r="L78" s="325">
        <f t="shared" si="4"/>
        <v>0.79489678656267448</v>
      </c>
      <c r="M78" s="325">
        <f t="shared" si="4"/>
        <v>0.66241398880222879</v>
      </c>
      <c r="N78" s="325">
        <f t="shared" si="4"/>
        <v>0.56778341897333895</v>
      </c>
      <c r="O78" s="325">
        <f t="shared" si="4"/>
        <v>0.49681049160167157</v>
      </c>
      <c r="P78" s="325">
        <f t="shared" si="4"/>
        <v>0.44160932586815249</v>
      </c>
      <c r="Q78" s="325">
        <f t="shared" si="4"/>
        <v>0.39744839328133724</v>
      </c>
    </row>
    <row r="79" spans="6:17" x14ac:dyDescent="0.25">
      <c r="F79" s="324">
        <v>4</v>
      </c>
      <c r="G79" s="325">
        <f t="shared" si="4"/>
        <v>30.050976077369402</v>
      </c>
      <c r="H79" s="325">
        <f t="shared" si="4"/>
        <v>3.0050976077369405</v>
      </c>
      <c r="I79" s="325">
        <f t="shared" si="4"/>
        <v>1.5025488038684702</v>
      </c>
      <c r="J79" s="325">
        <f t="shared" si="4"/>
        <v>1.0016992025789802</v>
      </c>
      <c r="K79" s="325">
        <f t="shared" si="4"/>
        <v>0.75127440193423511</v>
      </c>
      <c r="L79" s="325">
        <f t="shared" si="4"/>
        <v>0.60101952154738802</v>
      </c>
      <c r="M79" s="325">
        <f t="shared" si="4"/>
        <v>0.50084960128949008</v>
      </c>
      <c r="N79" s="325">
        <f t="shared" si="4"/>
        <v>0.42929965824813432</v>
      </c>
      <c r="O79" s="325">
        <f t="shared" si="4"/>
        <v>0.37563720096711756</v>
      </c>
      <c r="P79" s="325">
        <f t="shared" si="4"/>
        <v>0.33389973419299335</v>
      </c>
      <c r="Q79" s="325">
        <f t="shared" si="4"/>
        <v>0.30050976077369401</v>
      </c>
    </row>
    <row r="80" spans="6:17" x14ac:dyDescent="0.25">
      <c r="F80" s="324">
        <v>5</v>
      </c>
      <c r="G80" s="325">
        <f t="shared" si="4"/>
        <v>24.158627826904812</v>
      </c>
      <c r="H80" s="325">
        <f t="shared" si="4"/>
        <v>2.4158627826904815</v>
      </c>
      <c r="I80" s="325">
        <f t="shared" si="4"/>
        <v>1.2079313913452407</v>
      </c>
      <c r="J80" s="325">
        <f t="shared" si="4"/>
        <v>0.8052875942301605</v>
      </c>
      <c r="K80" s="325">
        <f t="shared" si="4"/>
        <v>0.60396569567262037</v>
      </c>
      <c r="L80" s="325">
        <f t="shared" si="4"/>
        <v>0.48317255653809627</v>
      </c>
      <c r="M80" s="325">
        <f t="shared" si="4"/>
        <v>0.40264379711508025</v>
      </c>
      <c r="N80" s="325">
        <f t="shared" si="4"/>
        <v>0.34512325467006877</v>
      </c>
      <c r="O80" s="325">
        <f t="shared" si="4"/>
        <v>0.30198284783631019</v>
      </c>
      <c r="P80" s="325">
        <f t="shared" si="4"/>
        <v>0.26842919807672017</v>
      </c>
      <c r="Q80" s="325">
        <f t="shared" si="4"/>
        <v>0.24158627826904813</v>
      </c>
    </row>
    <row r="81" spans="6:17" x14ac:dyDescent="0.25">
      <c r="F81" s="324">
        <v>6</v>
      </c>
      <c r="G81" s="325">
        <f t="shared" si="4"/>
        <v>20.198197035608942</v>
      </c>
      <c r="H81" s="325">
        <f t="shared" si="4"/>
        <v>2.0198197035608945</v>
      </c>
      <c r="I81" s="325">
        <f t="shared" si="4"/>
        <v>1.0099098517804472</v>
      </c>
      <c r="J81" s="325">
        <f t="shared" si="4"/>
        <v>0.67327323452029808</v>
      </c>
      <c r="K81" s="325">
        <f t="shared" si="4"/>
        <v>0.50495492589022362</v>
      </c>
      <c r="L81" s="325">
        <f t="shared" si="4"/>
        <v>0.40396394071217884</v>
      </c>
      <c r="M81" s="325">
        <f t="shared" si="4"/>
        <v>0.33663661726014904</v>
      </c>
      <c r="N81" s="325">
        <f t="shared" si="4"/>
        <v>0.2885456719372706</v>
      </c>
      <c r="O81" s="325">
        <f t="shared" si="4"/>
        <v>0.25247746294511181</v>
      </c>
      <c r="P81" s="325">
        <f t="shared" si="4"/>
        <v>0.22442441150676604</v>
      </c>
      <c r="Q81" s="325">
        <f t="shared" si="4"/>
        <v>0.20198197035608942</v>
      </c>
    </row>
    <row r="82" spans="6:17" x14ac:dyDescent="0.25">
      <c r="F82" s="324">
        <v>7</v>
      </c>
      <c r="G82" s="325">
        <f t="shared" si="4"/>
        <v>17.35338055172036</v>
      </c>
      <c r="H82" s="325">
        <f t="shared" si="4"/>
        <v>1.7353380551720359</v>
      </c>
      <c r="I82" s="325">
        <f t="shared" si="4"/>
        <v>0.86766902758601794</v>
      </c>
      <c r="J82" s="325">
        <f t="shared" si="4"/>
        <v>0.57844601839067866</v>
      </c>
      <c r="K82" s="325">
        <f t="shared" si="4"/>
        <v>0.43383451379300897</v>
      </c>
      <c r="L82" s="325">
        <f t="shared" si="4"/>
        <v>0.3470676110344072</v>
      </c>
      <c r="M82" s="325">
        <f t="shared" si="4"/>
        <v>0.28922300919533933</v>
      </c>
      <c r="N82" s="325">
        <f t="shared" si="4"/>
        <v>0.247905436453148</v>
      </c>
      <c r="O82" s="325">
        <f t="shared" si="4"/>
        <v>0.21691725689650448</v>
      </c>
      <c r="P82" s="325">
        <f t="shared" si="4"/>
        <v>0.19281533946355955</v>
      </c>
      <c r="Q82" s="325">
        <f t="shared" si="4"/>
        <v>0.1735338055172036</v>
      </c>
    </row>
    <row r="83" spans="6:17" x14ac:dyDescent="0.25">
      <c r="F83" s="324">
        <v>8</v>
      </c>
      <c r="G83" s="325">
        <f t="shared" si="4"/>
        <v>15.210987891014142</v>
      </c>
      <c r="H83" s="325">
        <f t="shared" si="4"/>
        <v>1.5210987891014143</v>
      </c>
      <c r="I83" s="325">
        <f t="shared" si="4"/>
        <v>0.76054939455070714</v>
      </c>
      <c r="J83" s="325">
        <f t="shared" si="4"/>
        <v>0.50703292970047142</v>
      </c>
      <c r="K83" s="325">
        <f t="shared" si="4"/>
        <v>0.38027469727535357</v>
      </c>
      <c r="L83" s="325">
        <f t="shared" si="4"/>
        <v>0.30421975782028282</v>
      </c>
      <c r="M83" s="325">
        <f t="shared" si="4"/>
        <v>0.25351646485023571</v>
      </c>
      <c r="N83" s="325">
        <f t="shared" si="4"/>
        <v>0.21729982701448775</v>
      </c>
      <c r="O83" s="325">
        <f t="shared" si="4"/>
        <v>0.19013734863767678</v>
      </c>
      <c r="P83" s="325">
        <f t="shared" si="4"/>
        <v>0.16901097656682379</v>
      </c>
      <c r="Q83" s="325">
        <f t="shared" si="4"/>
        <v>0.15210987891014141</v>
      </c>
    </row>
    <row r="84" spans="6:17" x14ac:dyDescent="0.25">
      <c r="F84" s="324">
        <v>9</v>
      </c>
      <c r="G84" s="325">
        <f t="shared" si="4"/>
        <v>13.539450760133468</v>
      </c>
      <c r="H84" s="325">
        <f t="shared" si="4"/>
        <v>1.3539450760133467</v>
      </c>
      <c r="I84" s="325">
        <f t="shared" si="4"/>
        <v>0.67697253800667334</v>
      </c>
      <c r="J84" s="325">
        <f t="shared" si="4"/>
        <v>0.45131502533778223</v>
      </c>
      <c r="K84" s="325">
        <f t="shared" si="4"/>
        <v>0.33848626900333667</v>
      </c>
      <c r="L84" s="325">
        <f t="shared" si="4"/>
        <v>0.27078901520266935</v>
      </c>
      <c r="M84" s="325">
        <f t="shared" si="4"/>
        <v>0.22565751266889111</v>
      </c>
      <c r="N84" s="325">
        <f t="shared" si="4"/>
        <v>0.19342072514476383</v>
      </c>
      <c r="O84" s="325">
        <f t="shared" si="4"/>
        <v>0.16924313450166834</v>
      </c>
      <c r="P84" s="325">
        <f t="shared" si="4"/>
        <v>0.15043834177926074</v>
      </c>
      <c r="Q84" s="325">
        <f t="shared" si="4"/>
        <v>0.13539450760133467</v>
      </c>
    </row>
    <row r="85" spans="6:17" ht="15.75" thickBot="1" x14ac:dyDescent="0.3">
      <c r="F85" s="326">
        <v>10</v>
      </c>
      <c r="G85" s="325">
        <f t="shared" si="4"/>
        <v>12.198911080912332</v>
      </c>
      <c r="H85" s="325">
        <f t="shared" si="4"/>
        <v>1.2198911080912331</v>
      </c>
      <c r="I85" s="325">
        <f t="shared" si="4"/>
        <v>0.60994555404561657</v>
      </c>
      <c r="J85" s="325">
        <f t="shared" si="4"/>
        <v>0.40663036936374441</v>
      </c>
      <c r="K85" s="325">
        <f t="shared" si="4"/>
        <v>0.30497277702280828</v>
      </c>
      <c r="L85" s="325">
        <f t="shared" si="4"/>
        <v>0.24397822161824664</v>
      </c>
      <c r="M85" s="325">
        <f t="shared" si="4"/>
        <v>0.20331518468187221</v>
      </c>
      <c r="N85" s="325">
        <f t="shared" si="4"/>
        <v>0.17427015829874759</v>
      </c>
      <c r="O85" s="325">
        <f t="shared" si="4"/>
        <v>0.15248638851140414</v>
      </c>
      <c r="P85" s="325">
        <f t="shared" si="4"/>
        <v>0.13554345645458146</v>
      </c>
      <c r="Q85" s="325">
        <f t="shared" si="4"/>
        <v>0.12198911080912332</v>
      </c>
    </row>
    <row r="88" spans="6:17" ht="15.75" thickBot="1" x14ac:dyDescent="0.3"/>
    <row r="89" spans="6:17" x14ac:dyDescent="0.25">
      <c r="F89" s="345" t="s">
        <v>316</v>
      </c>
      <c r="G89" s="337"/>
      <c r="H89" s="337"/>
      <c r="I89" s="337"/>
      <c r="J89" s="337"/>
      <c r="K89" s="337"/>
      <c r="L89" s="337"/>
      <c r="M89" s="337"/>
      <c r="N89" s="337"/>
      <c r="O89" s="337"/>
      <c r="P89" s="337"/>
      <c r="Q89" s="338"/>
    </row>
    <row r="90" spans="6:17" ht="15.75" thickBot="1" x14ac:dyDescent="0.3">
      <c r="F90" s="346"/>
      <c r="G90" s="344"/>
      <c r="H90" s="344"/>
      <c r="I90" s="344"/>
      <c r="J90" s="344"/>
      <c r="K90" s="344"/>
      <c r="L90" s="344"/>
      <c r="M90" s="344"/>
      <c r="N90" s="344"/>
      <c r="O90" s="344"/>
      <c r="P90" s="344"/>
      <c r="Q90" s="347"/>
    </row>
    <row r="91" spans="6:17" ht="15.75" thickBot="1" x14ac:dyDescent="0.3">
      <c r="F91" s="292" t="s">
        <v>309</v>
      </c>
      <c r="G91" s="291">
        <v>0.01</v>
      </c>
      <c r="H91" s="291">
        <v>0.1</v>
      </c>
      <c r="I91" s="291">
        <v>0.2</v>
      </c>
      <c r="J91" s="291">
        <v>0.3</v>
      </c>
      <c r="K91" s="291">
        <v>0.4</v>
      </c>
      <c r="L91" s="291">
        <v>0.5</v>
      </c>
      <c r="M91" s="291">
        <v>0.6</v>
      </c>
      <c r="N91" s="291">
        <v>0.7</v>
      </c>
      <c r="O91" s="291">
        <v>0.8</v>
      </c>
      <c r="P91" s="291">
        <v>0.9</v>
      </c>
      <c r="Q91" s="290">
        <v>1</v>
      </c>
    </row>
    <row r="92" spans="6:17" ht="30" x14ac:dyDescent="0.25">
      <c r="F92" s="289" t="s">
        <v>310</v>
      </c>
      <c r="Q92" s="246"/>
    </row>
    <row r="93" spans="6:17" x14ac:dyDescent="0.25">
      <c r="F93" s="324">
        <v>1</v>
      </c>
      <c r="G93" s="325">
        <f t="shared" ref="G93:Q102" si="5">($C$15+$C$18)/(G$91*(($C$11*$F93)+$C$12))</f>
        <v>771.02803059091548</v>
      </c>
      <c r="H93" s="325">
        <f t="shared" si="5"/>
        <v>77.102803059091542</v>
      </c>
      <c r="I93" s="325">
        <f t="shared" si="5"/>
        <v>38.551401529545771</v>
      </c>
      <c r="J93" s="325">
        <f t="shared" si="5"/>
        <v>25.700934353030515</v>
      </c>
      <c r="K93" s="325">
        <f t="shared" si="5"/>
        <v>19.275700764772886</v>
      </c>
      <c r="L93" s="325">
        <f t="shared" si="5"/>
        <v>15.42056061181831</v>
      </c>
      <c r="M93" s="325">
        <f t="shared" si="5"/>
        <v>12.850467176515258</v>
      </c>
      <c r="N93" s="325">
        <f t="shared" si="5"/>
        <v>11.014686151298793</v>
      </c>
      <c r="O93" s="325">
        <f t="shared" si="5"/>
        <v>9.6378503823864428</v>
      </c>
      <c r="P93" s="325">
        <f t="shared" si="5"/>
        <v>8.5669781176768378</v>
      </c>
      <c r="Q93" s="325">
        <f t="shared" si="5"/>
        <v>7.7102803059091549</v>
      </c>
    </row>
    <row r="94" spans="6:17" x14ac:dyDescent="0.25">
      <c r="F94" s="324">
        <v>2</v>
      </c>
      <c r="G94" s="325">
        <f t="shared" si="5"/>
        <v>514.01868706061032</v>
      </c>
      <c r="H94" s="325">
        <f t="shared" si="5"/>
        <v>51.40186870606103</v>
      </c>
      <c r="I94" s="325">
        <f t="shared" si="5"/>
        <v>25.700934353030515</v>
      </c>
      <c r="J94" s="325">
        <f t="shared" si="5"/>
        <v>17.133956235353676</v>
      </c>
      <c r="K94" s="325">
        <f t="shared" si="5"/>
        <v>12.850467176515258</v>
      </c>
      <c r="L94" s="325">
        <f t="shared" si="5"/>
        <v>10.280373741212207</v>
      </c>
      <c r="M94" s="325">
        <f t="shared" si="5"/>
        <v>8.5669781176768378</v>
      </c>
      <c r="N94" s="325">
        <f t="shared" si="5"/>
        <v>7.3431241008658619</v>
      </c>
      <c r="O94" s="325">
        <f t="shared" si="5"/>
        <v>6.4252335882576288</v>
      </c>
      <c r="P94" s="325">
        <f t="shared" si="5"/>
        <v>5.7113187451178922</v>
      </c>
      <c r="Q94" s="325">
        <f t="shared" si="5"/>
        <v>5.1401868706061036</v>
      </c>
    </row>
    <row r="95" spans="6:17" x14ac:dyDescent="0.25">
      <c r="F95" s="324">
        <v>3</v>
      </c>
      <c r="G95" s="325">
        <f t="shared" si="5"/>
        <v>385.51401529545774</v>
      </c>
      <c r="H95" s="325">
        <f t="shared" si="5"/>
        <v>38.551401529545771</v>
      </c>
      <c r="I95" s="325">
        <f t="shared" si="5"/>
        <v>19.275700764772886</v>
      </c>
      <c r="J95" s="325">
        <f t="shared" si="5"/>
        <v>12.850467176515258</v>
      </c>
      <c r="K95" s="325">
        <f t="shared" si="5"/>
        <v>9.6378503823864428</v>
      </c>
      <c r="L95" s="325">
        <f t="shared" si="5"/>
        <v>7.7102803059091549</v>
      </c>
      <c r="M95" s="325">
        <f t="shared" si="5"/>
        <v>6.4252335882576288</v>
      </c>
      <c r="N95" s="325">
        <f t="shared" si="5"/>
        <v>5.5073430756493966</v>
      </c>
      <c r="O95" s="325">
        <f t="shared" si="5"/>
        <v>4.8189251911932214</v>
      </c>
      <c r="P95" s="325">
        <f t="shared" si="5"/>
        <v>4.2834890588384189</v>
      </c>
      <c r="Q95" s="325">
        <f t="shared" si="5"/>
        <v>3.8551401529545775</v>
      </c>
    </row>
    <row r="96" spans="6:17" x14ac:dyDescent="0.25">
      <c r="F96" s="324">
        <v>4</v>
      </c>
      <c r="G96" s="325">
        <f t="shared" si="5"/>
        <v>308.41121223636617</v>
      </c>
      <c r="H96" s="325">
        <f t="shared" si="5"/>
        <v>30.84112122363662</v>
      </c>
      <c r="I96" s="325">
        <f t="shared" si="5"/>
        <v>15.42056061181831</v>
      </c>
      <c r="J96" s="325">
        <f t="shared" si="5"/>
        <v>10.280373741212207</v>
      </c>
      <c r="K96" s="325">
        <f t="shared" si="5"/>
        <v>7.7102803059091549</v>
      </c>
      <c r="L96" s="325">
        <f t="shared" si="5"/>
        <v>6.1682242447273241</v>
      </c>
      <c r="M96" s="325">
        <f t="shared" si="5"/>
        <v>5.1401868706061036</v>
      </c>
      <c r="N96" s="325">
        <f t="shared" si="5"/>
        <v>4.4058744605195166</v>
      </c>
      <c r="O96" s="325">
        <f t="shared" si="5"/>
        <v>3.8551401529545775</v>
      </c>
      <c r="P96" s="325">
        <f t="shared" si="5"/>
        <v>3.4267912470707356</v>
      </c>
      <c r="Q96" s="325">
        <f t="shared" si="5"/>
        <v>3.0841121223636621</v>
      </c>
    </row>
    <row r="97" spans="6:17" x14ac:dyDescent="0.25">
      <c r="F97" s="324">
        <v>5</v>
      </c>
      <c r="G97" s="325">
        <f t="shared" si="5"/>
        <v>257.00934353030516</v>
      </c>
      <c r="H97" s="325">
        <f t="shared" si="5"/>
        <v>25.700934353030515</v>
      </c>
      <c r="I97" s="325">
        <f t="shared" si="5"/>
        <v>12.850467176515258</v>
      </c>
      <c r="J97" s="325">
        <f t="shared" si="5"/>
        <v>8.5669781176768378</v>
      </c>
      <c r="K97" s="325">
        <f t="shared" si="5"/>
        <v>6.4252335882576288</v>
      </c>
      <c r="L97" s="325">
        <f t="shared" si="5"/>
        <v>5.1401868706061036</v>
      </c>
      <c r="M97" s="325">
        <f t="shared" si="5"/>
        <v>4.2834890588384189</v>
      </c>
      <c r="N97" s="325">
        <f t="shared" si="5"/>
        <v>3.6715620504329309</v>
      </c>
      <c r="O97" s="325">
        <f t="shared" si="5"/>
        <v>3.2126167941288144</v>
      </c>
      <c r="P97" s="325">
        <f t="shared" si="5"/>
        <v>2.8556593725589461</v>
      </c>
      <c r="Q97" s="325">
        <f t="shared" si="5"/>
        <v>2.5700934353030518</v>
      </c>
    </row>
    <row r="98" spans="6:17" x14ac:dyDescent="0.25">
      <c r="F98" s="324">
        <v>6</v>
      </c>
      <c r="G98" s="325">
        <f t="shared" si="5"/>
        <v>220.29372302597585</v>
      </c>
      <c r="H98" s="325">
        <f t="shared" si="5"/>
        <v>22.029372302597586</v>
      </c>
      <c r="I98" s="325">
        <f t="shared" si="5"/>
        <v>11.014686151298793</v>
      </c>
      <c r="J98" s="325">
        <f t="shared" si="5"/>
        <v>7.3431241008658619</v>
      </c>
      <c r="K98" s="325">
        <f t="shared" si="5"/>
        <v>5.5073430756493966</v>
      </c>
      <c r="L98" s="325">
        <f t="shared" si="5"/>
        <v>4.4058744605195166</v>
      </c>
      <c r="M98" s="325">
        <f t="shared" si="5"/>
        <v>3.6715620504329309</v>
      </c>
      <c r="N98" s="325">
        <f t="shared" si="5"/>
        <v>3.1470531860853699</v>
      </c>
      <c r="O98" s="325">
        <f t="shared" si="5"/>
        <v>2.7536715378246983</v>
      </c>
      <c r="P98" s="325">
        <f t="shared" si="5"/>
        <v>2.4477080336219541</v>
      </c>
      <c r="Q98" s="325">
        <f t="shared" si="5"/>
        <v>2.2029372302597583</v>
      </c>
    </row>
    <row r="99" spans="6:17" x14ac:dyDescent="0.25">
      <c r="F99" s="324">
        <v>7</v>
      </c>
      <c r="G99" s="325">
        <f t="shared" si="5"/>
        <v>192.75700764772887</v>
      </c>
      <c r="H99" s="325">
        <f t="shared" si="5"/>
        <v>19.275700764772886</v>
      </c>
      <c r="I99" s="325">
        <f t="shared" si="5"/>
        <v>9.6378503823864428</v>
      </c>
      <c r="J99" s="325">
        <f t="shared" si="5"/>
        <v>6.4252335882576288</v>
      </c>
      <c r="K99" s="325">
        <f t="shared" si="5"/>
        <v>4.8189251911932214</v>
      </c>
      <c r="L99" s="325">
        <f t="shared" si="5"/>
        <v>3.8551401529545775</v>
      </c>
      <c r="M99" s="325">
        <f t="shared" si="5"/>
        <v>3.2126167941288144</v>
      </c>
      <c r="N99" s="325">
        <f t="shared" si="5"/>
        <v>2.7536715378246983</v>
      </c>
      <c r="O99" s="325">
        <f t="shared" si="5"/>
        <v>2.4094625955966107</v>
      </c>
      <c r="P99" s="325">
        <f t="shared" si="5"/>
        <v>2.1417445294192095</v>
      </c>
      <c r="Q99" s="325">
        <f t="shared" si="5"/>
        <v>1.9275700764772887</v>
      </c>
    </row>
    <row r="100" spans="6:17" x14ac:dyDescent="0.25">
      <c r="F100" s="324">
        <v>8</v>
      </c>
      <c r="G100" s="325">
        <f t="shared" si="5"/>
        <v>171.33956235353676</v>
      </c>
      <c r="H100" s="325">
        <f t="shared" si="5"/>
        <v>17.133956235353676</v>
      </c>
      <c r="I100" s="325">
        <f t="shared" si="5"/>
        <v>8.5669781176768378</v>
      </c>
      <c r="J100" s="325">
        <f t="shared" si="5"/>
        <v>5.7113187451178922</v>
      </c>
      <c r="K100" s="325">
        <f t="shared" si="5"/>
        <v>4.2834890588384189</v>
      </c>
      <c r="L100" s="325">
        <f t="shared" si="5"/>
        <v>3.4267912470707356</v>
      </c>
      <c r="M100" s="325">
        <f t="shared" si="5"/>
        <v>2.8556593725589461</v>
      </c>
      <c r="N100" s="325">
        <f t="shared" si="5"/>
        <v>2.4477080336219541</v>
      </c>
      <c r="O100" s="325">
        <f t="shared" si="5"/>
        <v>2.1417445294192095</v>
      </c>
      <c r="P100" s="325">
        <f t="shared" si="5"/>
        <v>1.9037729150392975</v>
      </c>
      <c r="Q100" s="325">
        <f t="shared" si="5"/>
        <v>1.7133956235353678</v>
      </c>
    </row>
    <row r="101" spans="6:17" x14ac:dyDescent="0.25">
      <c r="F101" s="324">
        <v>9</v>
      </c>
      <c r="G101" s="325">
        <f t="shared" si="5"/>
        <v>154.20560611818308</v>
      </c>
      <c r="H101" s="325">
        <f t="shared" si="5"/>
        <v>15.42056061181831</v>
      </c>
      <c r="I101" s="325">
        <f t="shared" si="5"/>
        <v>7.7102803059091549</v>
      </c>
      <c r="J101" s="325">
        <f t="shared" si="5"/>
        <v>5.1401868706061036</v>
      </c>
      <c r="K101" s="325">
        <f t="shared" si="5"/>
        <v>3.8551401529545775</v>
      </c>
      <c r="L101" s="325">
        <f t="shared" si="5"/>
        <v>3.0841121223636621</v>
      </c>
      <c r="M101" s="325">
        <f t="shared" si="5"/>
        <v>2.5700934353030518</v>
      </c>
      <c r="N101" s="325">
        <f t="shared" si="5"/>
        <v>2.2029372302597583</v>
      </c>
      <c r="O101" s="325">
        <f t="shared" si="5"/>
        <v>1.9275700764772887</v>
      </c>
      <c r="P101" s="325">
        <f t="shared" si="5"/>
        <v>1.7133956235353678</v>
      </c>
      <c r="Q101" s="325">
        <f t="shared" si="5"/>
        <v>1.542056061181831</v>
      </c>
    </row>
    <row r="102" spans="6:17" ht="15.75" thickBot="1" x14ac:dyDescent="0.3">
      <c r="F102" s="326">
        <v>10</v>
      </c>
      <c r="G102" s="325">
        <f t="shared" si="5"/>
        <v>140.18691465289373</v>
      </c>
      <c r="H102" s="325">
        <f t="shared" si="5"/>
        <v>14.018691465289372</v>
      </c>
      <c r="I102" s="325">
        <f t="shared" si="5"/>
        <v>7.009345732644686</v>
      </c>
      <c r="J102" s="325">
        <f t="shared" si="5"/>
        <v>4.6728971550964573</v>
      </c>
      <c r="K102" s="325">
        <f t="shared" si="5"/>
        <v>3.504672866322343</v>
      </c>
      <c r="L102" s="325">
        <f t="shared" si="5"/>
        <v>2.8037382930578745</v>
      </c>
      <c r="M102" s="325">
        <f t="shared" si="5"/>
        <v>2.3364485775482287</v>
      </c>
      <c r="N102" s="325">
        <f t="shared" si="5"/>
        <v>2.0026702093270532</v>
      </c>
      <c r="O102" s="325">
        <f t="shared" si="5"/>
        <v>1.7523364331611715</v>
      </c>
      <c r="P102" s="325">
        <f t="shared" si="5"/>
        <v>1.5576323850321525</v>
      </c>
      <c r="Q102" s="325">
        <f t="shared" si="5"/>
        <v>1.4018691465289372</v>
      </c>
    </row>
    <row r="105" spans="6:17" ht="15.75" thickBot="1" x14ac:dyDescent="0.3"/>
    <row r="106" spans="6:17" x14ac:dyDescent="0.25">
      <c r="F106" s="348" t="s">
        <v>317</v>
      </c>
      <c r="G106" s="349"/>
      <c r="H106" s="349"/>
      <c r="I106" s="349"/>
      <c r="J106" s="349"/>
      <c r="K106" s="349"/>
      <c r="L106" s="349"/>
      <c r="M106" s="349"/>
      <c r="N106" s="349"/>
      <c r="O106" s="349"/>
      <c r="P106" s="349"/>
      <c r="Q106" s="350"/>
    </row>
    <row r="107" spans="6:17" ht="15.75" thickBot="1" x14ac:dyDescent="0.3">
      <c r="F107" s="351"/>
      <c r="G107" s="352"/>
      <c r="H107" s="352"/>
      <c r="I107" s="352"/>
      <c r="J107" s="352"/>
      <c r="K107" s="352"/>
      <c r="L107" s="352"/>
      <c r="M107" s="352"/>
      <c r="N107" s="352"/>
      <c r="O107" s="352"/>
      <c r="P107" s="352"/>
      <c r="Q107" s="353"/>
    </row>
    <row r="108" spans="6:17" ht="15.75" thickBot="1" x14ac:dyDescent="0.3">
      <c r="F108" s="292" t="s">
        <v>309</v>
      </c>
      <c r="G108" s="291">
        <v>0.01</v>
      </c>
      <c r="H108" s="291">
        <v>0.1</v>
      </c>
      <c r="I108" s="291">
        <v>0.2</v>
      </c>
      <c r="J108" s="291">
        <v>0.3</v>
      </c>
      <c r="K108" s="291">
        <v>0.4</v>
      </c>
      <c r="L108" s="291">
        <v>0.5</v>
      </c>
      <c r="M108" s="291">
        <v>0.6</v>
      </c>
      <c r="N108" s="291">
        <v>0.7</v>
      </c>
      <c r="O108" s="291">
        <v>0.8</v>
      </c>
      <c r="P108" s="291">
        <v>0.9</v>
      </c>
      <c r="Q108" s="290">
        <v>1</v>
      </c>
    </row>
    <row r="109" spans="6:17" ht="30" x14ac:dyDescent="0.25">
      <c r="F109" s="289" t="s">
        <v>310</v>
      </c>
      <c r="Q109" s="246"/>
    </row>
    <row r="110" spans="6:17" x14ac:dyDescent="0.25">
      <c r="F110" s="324">
        <v>1</v>
      </c>
      <c r="G110" s="325">
        <f t="shared" ref="G110:Q119" si="6">($C$17+$C$14)/(G$108*(($C$10*$F110)+$C$12))</f>
        <v>112.94041576822474</v>
      </c>
      <c r="H110" s="325">
        <f t="shared" si="6"/>
        <v>11.294041576822474</v>
      </c>
      <c r="I110" s="325">
        <f t="shared" si="6"/>
        <v>5.6470207884112371</v>
      </c>
      <c r="J110" s="325">
        <f t="shared" si="6"/>
        <v>3.7646805256074911</v>
      </c>
      <c r="K110" s="325">
        <f t="shared" si="6"/>
        <v>2.8235103942056186</v>
      </c>
      <c r="L110" s="325">
        <f t="shared" si="6"/>
        <v>2.2588083153644947</v>
      </c>
      <c r="M110" s="325">
        <f t="shared" si="6"/>
        <v>1.8823402628037456</v>
      </c>
      <c r="N110" s="325">
        <f t="shared" si="6"/>
        <v>1.6134345109746391</v>
      </c>
      <c r="O110" s="325">
        <f t="shared" si="6"/>
        <v>1.4117551971028093</v>
      </c>
      <c r="P110" s="325">
        <f t="shared" si="6"/>
        <v>1.2548935085358304</v>
      </c>
      <c r="Q110" s="325">
        <f t="shared" si="6"/>
        <v>1.1294041576822473</v>
      </c>
    </row>
    <row r="111" spans="6:17" x14ac:dyDescent="0.25">
      <c r="F111" s="324">
        <v>2</v>
      </c>
      <c r="G111" s="325">
        <f t="shared" si="6"/>
        <v>59.159265402403435</v>
      </c>
      <c r="H111" s="325">
        <f t="shared" si="6"/>
        <v>5.9159265402403438</v>
      </c>
      <c r="I111" s="325">
        <f t="shared" si="6"/>
        <v>2.9579632701201719</v>
      </c>
      <c r="J111" s="325">
        <f t="shared" si="6"/>
        <v>1.9719755134134478</v>
      </c>
      <c r="K111" s="325">
        <f t="shared" si="6"/>
        <v>1.478981635060086</v>
      </c>
      <c r="L111" s="325">
        <f t="shared" si="6"/>
        <v>1.1831853080480688</v>
      </c>
      <c r="M111" s="325">
        <f t="shared" si="6"/>
        <v>0.98598775670672389</v>
      </c>
      <c r="N111" s="325">
        <f t="shared" si="6"/>
        <v>0.84513236289147764</v>
      </c>
      <c r="O111" s="325">
        <f t="shared" si="6"/>
        <v>0.73949081753004298</v>
      </c>
      <c r="P111" s="325">
        <f t="shared" si="6"/>
        <v>0.65732517113781597</v>
      </c>
      <c r="Q111" s="325">
        <f t="shared" si="6"/>
        <v>0.59159265402403438</v>
      </c>
    </row>
    <row r="112" spans="6:17" x14ac:dyDescent="0.25">
      <c r="F112" s="324">
        <v>3</v>
      </c>
      <c r="G112" s="325">
        <f t="shared" si="6"/>
        <v>40.075631401628137</v>
      </c>
      <c r="H112" s="325">
        <f t="shared" si="6"/>
        <v>4.0075631401628131</v>
      </c>
      <c r="I112" s="325">
        <f t="shared" si="6"/>
        <v>2.0037815700814066</v>
      </c>
      <c r="J112" s="325">
        <f t="shared" si="6"/>
        <v>1.335854380054271</v>
      </c>
      <c r="K112" s="325">
        <f t="shared" si="6"/>
        <v>1.0018907850407033</v>
      </c>
      <c r="L112" s="325">
        <f t="shared" si="6"/>
        <v>0.80151262803256262</v>
      </c>
      <c r="M112" s="325">
        <f t="shared" si="6"/>
        <v>0.66792719002713552</v>
      </c>
      <c r="N112" s="325">
        <f t="shared" si="6"/>
        <v>0.5725090200232591</v>
      </c>
      <c r="O112" s="325">
        <f t="shared" si="6"/>
        <v>0.50094539252035164</v>
      </c>
      <c r="P112" s="325">
        <f t="shared" si="6"/>
        <v>0.44528479335142368</v>
      </c>
      <c r="Q112" s="325">
        <f t="shared" si="6"/>
        <v>0.40075631401628131</v>
      </c>
    </row>
    <row r="113" spans="6:17" x14ac:dyDescent="0.25">
      <c r="F113" s="324">
        <v>4</v>
      </c>
      <c r="G113" s="325">
        <f t="shared" si="6"/>
        <v>30.301087157328588</v>
      </c>
      <c r="H113" s="325">
        <f t="shared" si="6"/>
        <v>3.030108715732859</v>
      </c>
      <c r="I113" s="325">
        <f t="shared" si="6"/>
        <v>1.5150543578664295</v>
      </c>
      <c r="J113" s="325">
        <f t="shared" si="6"/>
        <v>1.0100362385776196</v>
      </c>
      <c r="K113" s="325">
        <f t="shared" si="6"/>
        <v>0.75752717893321475</v>
      </c>
      <c r="L113" s="325">
        <f t="shared" si="6"/>
        <v>0.60602174314657176</v>
      </c>
      <c r="M113" s="325">
        <f t="shared" si="6"/>
        <v>0.5050181192888098</v>
      </c>
      <c r="N113" s="325">
        <f t="shared" si="6"/>
        <v>0.4328726736761227</v>
      </c>
      <c r="O113" s="325">
        <f t="shared" si="6"/>
        <v>0.37876358946660738</v>
      </c>
      <c r="P113" s="325">
        <f t="shared" si="6"/>
        <v>0.33667874619253985</v>
      </c>
      <c r="Q113" s="325">
        <f t="shared" si="6"/>
        <v>0.30301087157328588</v>
      </c>
    </row>
    <row r="114" spans="6:17" x14ac:dyDescent="0.25">
      <c r="F114" s="324">
        <v>5</v>
      </c>
      <c r="G114" s="325">
        <f t="shared" si="6"/>
        <v>24.359697518636708</v>
      </c>
      <c r="H114" s="325">
        <f t="shared" si="6"/>
        <v>2.4359697518636709</v>
      </c>
      <c r="I114" s="325">
        <f t="shared" si="6"/>
        <v>1.2179848759318355</v>
      </c>
      <c r="J114" s="325">
        <f t="shared" si="6"/>
        <v>0.81198991728789027</v>
      </c>
      <c r="K114" s="325">
        <f t="shared" si="6"/>
        <v>0.60899243796591773</v>
      </c>
      <c r="L114" s="325">
        <f t="shared" si="6"/>
        <v>0.48719395037273416</v>
      </c>
      <c r="M114" s="325">
        <f t="shared" si="6"/>
        <v>0.40599495864394514</v>
      </c>
      <c r="N114" s="325">
        <f t="shared" si="6"/>
        <v>0.34799567883766724</v>
      </c>
      <c r="O114" s="325">
        <f t="shared" si="6"/>
        <v>0.30449621898295887</v>
      </c>
      <c r="P114" s="325">
        <f t="shared" si="6"/>
        <v>0.27066330576263009</v>
      </c>
      <c r="Q114" s="325">
        <f t="shared" si="6"/>
        <v>0.24359697518636708</v>
      </c>
    </row>
    <row r="115" spans="6:17" x14ac:dyDescent="0.25">
      <c r="F115" s="324">
        <v>6</v>
      </c>
      <c r="G115" s="325">
        <f t="shared" si="6"/>
        <v>20.366304482794625</v>
      </c>
      <c r="H115" s="325">
        <f t="shared" si="6"/>
        <v>2.0366304482794626</v>
      </c>
      <c r="I115" s="325">
        <f t="shared" si="6"/>
        <v>1.0183152241397313</v>
      </c>
      <c r="J115" s="325">
        <f t="shared" si="6"/>
        <v>0.6788768160931542</v>
      </c>
      <c r="K115" s="325">
        <f t="shared" si="6"/>
        <v>0.50915761206986565</v>
      </c>
      <c r="L115" s="325">
        <f t="shared" si="6"/>
        <v>0.40732608965589251</v>
      </c>
      <c r="M115" s="325">
        <f t="shared" si="6"/>
        <v>0.3394384080465771</v>
      </c>
      <c r="N115" s="325">
        <f t="shared" si="6"/>
        <v>0.29094720689706605</v>
      </c>
      <c r="O115" s="325">
        <f t="shared" si="6"/>
        <v>0.25457880603493283</v>
      </c>
      <c r="P115" s="325">
        <f t="shared" si="6"/>
        <v>0.2262922720310514</v>
      </c>
      <c r="Q115" s="325">
        <f t="shared" si="6"/>
        <v>0.20366304482794625</v>
      </c>
    </row>
    <row r="116" spans="6:17" x14ac:dyDescent="0.25">
      <c r="F116" s="324">
        <v>7</v>
      </c>
      <c r="G116" s="325">
        <f t="shared" si="6"/>
        <v>17.497810893668621</v>
      </c>
      <c r="H116" s="325">
        <f t="shared" si="6"/>
        <v>1.7497810893668622</v>
      </c>
      <c r="I116" s="325">
        <f t="shared" si="6"/>
        <v>0.87489054468343108</v>
      </c>
      <c r="J116" s="325">
        <f t="shared" si="6"/>
        <v>0.58326036312228735</v>
      </c>
      <c r="K116" s="325">
        <f t="shared" si="6"/>
        <v>0.43744527234171554</v>
      </c>
      <c r="L116" s="325">
        <f t="shared" si="6"/>
        <v>0.34995621787337244</v>
      </c>
      <c r="M116" s="325">
        <f t="shared" si="6"/>
        <v>0.29163018156114368</v>
      </c>
      <c r="N116" s="325">
        <f t="shared" si="6"/>
        <v>0.24996872705240888</v>
      </c>
      <c r="O116" s="325">
        <f t="shared" si="6"/>
        <v>0.21872263617085777</v>
      </c>
      <c r="P116" s="325">
        <f t="shared" si="6"/>
        <v>0.19442012104076245</v>
      </c>
      <c r="Q116" s="325">
        <f t="shared" si="6"/>
        <v>0.17497810893668622</v>
      </c>
    </row>
    <row r="117" spans="6:17" x14ac:dyDescent="0.25">
      <c r="F117" s="324">
        <v>8</v>
      </c>
      <c r="G117" s="325">
        <f t="shared" si="6"/>
        <v>15.337587326549039</v>
      </c>
      <c r="H117" s="325">
        <f t="shared" si="6"/>
        <v>1.5337587326549038</v>
      </c>
      <c r="I117" s="325">
        <f t="shared" si="6"/>
        <v>0.76687936632745191</v>
      </c>
      <c r="J117" s="325">
        <f t="shared" si="6"/>
        <v>0.51125291088496794</v>
      </c>
      <c r="K117" s="325">
        <f t="shared" si="6"/>
        <v>0.38343968316372595</v>
      </c>
      <c r="L117" s="325">
        <f t="shared" si="6"/>
        <v>0.30675174653098075</v>
      </c>
      <c r="M117" s="325">
        <f t="shared" si="6"/>
        <v>0.25562645544248397</v>
      </c>
      <c r="N117" s="325">
        <f t="shared" si="6"/>
        <v>0.21910839037927199</v>
      </c>
      <c r="O117" s="325">
        <f t="shared" si="6"/>
        <v>0.19171984158186298</v>
      </c>
      <c r="P117" s="325">
        <f t="shared" si="6"/>
        <v>0.17041763696165599</v>
      </c>
      <c r="Q117" s="325">
        <f t="shared" si="6"/>
        <v>0.15337587326549038</v>
      </c>
    </row>
    <row r="118" spans="6:17" x14ac:dyDescent="0.25">
      <c r="F118" s="324">
        <v>9</v>
      </c>
      <c r="G118" s="325">
        <f t="shared" si="6"/>
        <v>13.652138169785408</v>
      </c>
      <c r="H118" s="325">
        <f t="shared" si="6"/>
        <v>1.3652138169785408</v>
      </c>
      <c r="I118" s="325">
        <f t="shared" si="6"/>
        <v>0.68260690848927041</v>
      </c>
      <c r="J118" s="325">
        <f t="shared" si="6"/>
        <v>0.45507127232618028</v>
      </c>
      <c r="K118" s="325">
        <f t="shared" si="6"/>
        <v>0.34130345424463521</v>
      </c>
      <c r="L118" s="325">
        <f t="shared" si="6"/>
        <v>0.27304276339570815</v>
      </c>
      <c r="M118" s="325">
        <f t="shared" si="6"/>
        <v>0.22753563616309014</v>
      </c>
      <c r="N118" s="325">
        <f t="shared" si="6"/>
        <v>0.19503054528264868</v>
      </c>
      <c r="O118" s="325">
        <f t="shared" si="6"/>
        <v>0.1706517271223176</v>
      </c>
      <c r="P118" s="325">
        <f t="shared" si="6"/>
        <v>0.15169042410872677</v>
      </c>
      <c r="Q118" s="325">
        <f t="shared" si="6"/>
        <v>0.13652138169785408</v>
      </c>
    </row>
    <row r="119" spans="6:17" ht="15.75" thickBot="1" x14ac:dyDescent="0.3">
      <c r="F119" s="326">
        <v>10</v>
      </c>
      <c r="G119" s="325">
        <f t="shared" si="6"/>
        <v>12.300441321291803</v>
      </c>
      <c r="H119" s="325">
        <f t="shared" si="6"/>
        <v>1.2300441321291804</v>
      </c>
      <c r="I119" s="325">
        <f t="shared" si="6"/>
        <v>0.6150220660645902</v>
      </c>
      <c r="J119" s="325">
        <f t="shared" si="6"/>
        <v>0.41001471070972678</v>
      </c>
      <c r="K119" s="325">
        <f t="shared" si="6"/>
        <v>0.3075110330322951</v>
      </c>
      <c r="L119" s="325">
        <f t="shared" si="6"/>
        <v>0.24600882642583607</v>
      </c>
      <c r="M119" s="325">
        <f t="shared" si="6"/>
        <v>0.20500735535486339</v>
      </c>
      <c r="N119" s="325">
        <f t="shared" si="6"/>
        <v>0.17572059030416862</v>
      </c>
      <c r="O119" s="325">
        <f t="shared" si="6"/>
        <v>0.15375551651614755</v>
      </c>
      <c r="P119" s="325">
        <f t="shared" si="6"/>
        <v>0.13667157023657558</v>
      </c>
      <c r="Q119" s="325">
        <f t="shared" si="6"/>
        <v>0.12300441321291804</v>
      </c>
    </row>
  </sheetData>
  <mergeCells count="8">
    <mergeCell ref="F89:Q90"/>
    <mergeCell ref="F106:Q107"/>
    <mergeCell ref="B7:C8"/>
    <mergeCell ref="F4:Q5"/>
    <mergeCell ref="F21:Q22"/>
    <mergeCell ref="F38:Q39"/>
    <mergeCell ref="F55:Q56"/>
    <mergeCell ref="F72:Q73"/>
  </mergeCells>
  <conditionalFormatting sqref="G8:Q17">
    <cfRule type="cellIs" dxfId="27" priority="25" operator="greaterThan">
      <formula>0.5</formula>
    </cfRule>
    <cfRule type="cellIs" dxfId="26" priority="27" operator="greaterThan">
      <formula>0</formula>
    </cfRule>
    <cfRule type="cellIs" dxfId="25" priority="28" operator="lessThan">
      <formula>0</formula>
    </cfRule>
  </conditionalFormatting>
  <conditionalFormatting sqref="G25:Q34">
    <cfRule type="cellIs" dxfId="24" priority="21" operator="greaterThan">
      <formula>0.5</formula>
    </cfRule>
    <cfRule type="cellIs" dxfId="23" priority="23" operator="greaterThan">
      <formula>0</formula>
    </cfRule>
    <cfRule type="cellIs" dxfId="22" priority="24" operator="lessThan">
      <formula>0</formula>
    </cfRule>
  </conditionalFormatting>
  <conditionalFormatting sqref="G42:Q51">
    <cfRule type="cellIs" dxfId="21" priority="17" operator="greaterThan">
      <formula>0.5</formula>
    </cfRule>
    <cfRule type="cellIs" dxfId="20" priority="19" operator="greaterThan">
      <formula>0</formula>
    </cfRule>
    <cfRule type="cellIs" dxfId="19" priority="20" operator="lessThan">
      <formula>0</formula>
    </cfRule>
  </conditionalFormatting>
  <conditionalFormatting sqref="G59:Q68">
    <cfRule type="cellIs" dxfId="18" priority="13" operator="greaterThan">
      <formula>0.5</formula>
    </cfRule>
    <cfRule type="cellIs" dxfId="17" priority="15" operator="greaterThan">
      <formula>0</formula>
    </cfRule>
    <cfRule type="cellIs" dxfId="16" priority="16" operator="lessThan">
      <formula>0</formula>
    </cfRule>
  </conditionalFormatting>
  <conditionalFormatting sqref="G76:Q85">
    <cfRule type="cellIs" dxfId="15" priority="9" operator="greaterThan">
      <formula>0.5</formula>
    </cfRule>
    <cfRule type="cellIs" dxfId="14" priority="11" operator="greaterThan">
      <formula>0</formula>
    </cfRule>
    <cfRule type="cellIs" dxfId="13" priority="12" operator="lessThan">
      <formula>0</formula>
    </cfRule>
  </conditionalFormatting>
  <conditionalFormatting sqref="G93:Q102">
    <cfRule type="cellIs" dxfId="12" priority="5" operator="greaterThan">
      <formula>0.5</formula>
    </cfRule>
    <cfRule type="cellIs" dxfId="11" priority="7" operator="greaterThan">
      <formula>0</formula>
    </cfRule>
    <cfRule type="cellIs" dxfId="10" priority="8" operator="lessThan">
      <formula>0</formula>
    </cfRule>
  </conditionalFormatting>
  <conditionalFormatting sqref="G110:Q119">
    <cfRule type="cellIs" dxfId="9" priority="1" operator="greaterThan">
      <formula>0.5</formula>
    </cfRule>
    <cfRule type="cellIs" dxfId="8" priority="3" operator="greaterThan">
      <formula>0</formula>
    </cfRule>
    <cfRule type="cellIs" dxfId="7" priority="4" operator="lessThan">
      <formula>0</formula>
    </cfRule>
  </conditionalFormatting>
  <conditionalFormatting sqref="Q8">
    <cfRule type="cellIs" dxfId="6" priority="26" operator="equal">
      <formula>0</formula>
    </cfRule>
  </conditionalFormatting>
  <conditionalFormatting sqref="Q25">
    <cfRule type="cellIs" dxfId="5" priority="22" operator="equal">
      <formula>0</formula>
    </cfRule>
  </conditionalFormatting>
  <conditionalFormatting sqref="Q42">
    <cfRule type="cellIs" dxfId="4" priority="18" operator="equal">
      <formula>0</formula>
    </cfRule>
  </conditionalFormatting>
  <conditionalFormatting sqref="Q59">
    <cfRule type="cellIs" dxfId="3" priority="14" operator="equal">
      <formula>0</formula>
    </cfRule>
  </conditionalFormatting>
  <conditionalFormatting sqref="Q76">
    <cfRule type="cellIs" dxfId="2" priority="10" operator="equal">
      <formula>0</formula>
    </cfRule>
  </conditionalFormatting>
  <conditionalFormatting sqref="Q93">
    <cfRule type="cellIs" dxfId="1" priority="6" operator="equal">
      <formula>0</formula>
    </cfRule>
  </conditionalFormatting>
  <conditionalFormatting sqref="Q110">
    <cfRule type="cellIs" dxfId="0" priority="2" operator="equal">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34252-9462-4DA4-86F2-DED014EAC32A}">
  <sheetPr>
    <tabColor theme="9" tint="0.59999389629810485"/>
  </sheetPr>
  <dimension ref="A1:AF96"/>
  <sheetViews>
    <sheetView zoomScale="70" zoomScaleNormal="70" workbookViewId="0">
      <selection sqref="A1:K1"/>
    </sheetView>
  </sheetViews>
  <sheetFormatPr defaultRowHeight="15" x14ac:dyDescent="0.25"/>
  <cols>
    <col min="1" max="1" width="9.5703125" customWidth="1"/>
    <col min="2" max="2" width="27.28515625" customWidth="1"/>
    <col min="3" max="4" width="9.85546875" customWidth="1"/>
    <col min="5" max="5" width="10" customWidth="1"/>
    <col min="6" max="6" width="12.140625" customWidth="1"/>
    <col min="8" max="8" width="11.5703125" customWidth="1"/>
    <col min="9" max="9" width="10.140625" customWidth="1"/>
    <col min="10" max="10" width="12.28515625" customWidth="1"/>
    <col min="11" max="11" width="11.5703125" customWidth="1"/>
    <col min="17" max="18" width="8.85546875" customWidth="1"/>
    <col min="20" max="26" width="8.85546875" customWidth="1"/>
    <col min="28" max="30" width="8.85546875" customWidth="1"/>
    <col min="32" max="32" width="8.85546875" customWidth="1"/>
  </cols>
  <sheetData>
    <row r="1" spans="1:21" ht="29.65" customHeight="1" x14ac:dyDescent="0.25">
      <c r="A1" s="372" t="s">
        <v>209</v>
      </c>
      <c r="B1" s="373"/>
      <c r="C1" s="373"/>
      <c r="D1" s="373"/>
      <c r="E1" s="373"/>
      <c r="F1" s="373"/>
      <c r="G1" s="373"/>
      <c r="H1" s="373"/>
      <c r="I1" s="373"/>
      <c r="J1" s="373"/>
      <c r="K1" s="374"/>
      <c r="L1" s="3"/>
    </row>
    <row r="2" spans="1:21" x14ac:dyDescent="0.25">
      <c r="A2" s="183"/>
      <c r="B2" s="214" t="s">
        <v>5</v>
      </c>
      <c r="C2" s="185"/>
      <c r="D2" s="185"/>
      <c r="E2" s="185"/>
      <c r="F2" s="185"/>
      <c r="G2" s="185"/>
      <c r="H2" s="185"/>
      <c r="I2" s="185"/>
      <c r="J2" s="185"/>
      <c r="K2" s="186"/>
      <c r="L2" s="3"/>
      <c r="M2" s="165"/>
    </row>
    <row r="3" spans="1:21" ht="18.75" x14ac:dyDescent="0.3">
      <c r="A3" s="183"/>
      <c r="B3" s="163" t="s">
        <v>166</v>
      </c>
      <c r="C3" s="185"/>
      <c r="D3" s="185"/>
      <c r="E3" s="185"/>
      <c r="F3" s="185"/>
      <c r="G3" s="185"/>
      <c r="H3" s="185"/>
      <c r="I3" s="185"/>
      <c r="J3" s="185"/>
      <c r="K3" s="186"/>
      <c r="L3" s="3"/>
      <c r="M3" s="165"/>
    </row>
    <row r="4" spans="1:21" x14ac:dyDescent="0.25">
      <c r="A4" s="183"/>
      <c r="B4" s="375" t="s">
        <v>167</v>
      </c>
      <c r="C4" s="376"/>
      <c r="D4" s="376"/>
      <c r="E4" s="376"/>
      <c r="F4" s="377"/>
      <c r="G4" s="164">
        <v>1</v>
      </c>
      <c r="H4" s="185"/>
      <c r="I4" s="185"/>
      <c r="J4" s="166" t="s">
        <v>170</v>
      </c>
      <c r="K4" s="186"/>
      <c r="L4" s="3"/>
    </row>
    <row r="5" spans="1:21" x14ac:dyDescent="0.25">
      <c r="A5" s="183"/>
      <c r="B5" s="375" t="s">
        <v>168</v>
      </c>
      <c r="C5" s="376"/>
      <c r="D5" s="376"/>
      <c r="E5" s="376"/>
      <c r="F5" s="377"/>
      <c r="G5" s="164" t="s">
        <v>150</v>
      </c>
      <c r="H5" s="185"/>
      <c r="I5" s="185"/>
      <c r="J5" s="167">
        <v>0.04</v>
      </c>
      <c r="K5" s="186"/>
      <c r="L5" s="3"/>
    </row>
    <row r="6" spans="1:21" x14ac:dyDescent="0.25">
      <c r="A6" s="183"/>
      <c r="B6" s="375" t="s">
        <v>169</v>
      </c>
      <c r="C6" s="376"/>
      <c r="D6" s="376"/>
      <c r="E6" s="376"/>
      <c r="F6" s="377"/>
      <c r="G6" s="164" t="s">
        <v>150</v>
      </c>
      <c r="H6" s="185"/>
      <c r="I6" s="185"/>
      <c r="J6" s="185"/>
      <c r="K6" s="186"/>
      <c r="L6" s="3"/>
    </row>
    <row r="7" spans="1:21" x14ac:dyDescent="0.25">
      <c r="A7" s="183"/>
      <c r="B7" s="185"/>
      <c r="C7" s="185"/>
      <c r="D7" s="185"/>
      <c r="E7" s="185"/>
      <c r="F7" s="185"/>
      <c r="G7" s="185"/>
      <c r="H7" s="185"/>
      <c r="I7" s="185"/>
      <c r="J7" s="185"/>
      <c r="K7" s="186"/>
      <c r="L7" s="3"/>
    </row>
    <row r="8" spans="1:21" ht="15.75" thickBot="1" x14ac:dyDescent="0.3">
      <c r="A8" s="183"/>
      <c r="B8" s="215"/>
      <c r="C8" s="185"/>
      <c r="D8" s="215"/>
      <c r="E8" s="185"/>
      <c r="F8" s="185"/>
      <c r="G8" s="185"/>
      <c r="H8" s="185"/>
      <c r="I8" s="185"/>
      <c r="J8" s="185"/>
      <c r="K8" s="186"/>
      <c r="L8" s="3"/>
    </row>
    <row r="9" spans="1:21" ht="36.6" customHeight="1" thickBot="1" x14ac:dyDescent="0.3">
      <c r="A9" s="183"/>
      <c r="B9" s="379" t="str">
        <f>CONCATENATE("Turbo Fladry Fence Enterprise Budget - Total Costs for ",G4," Mile(s) of Fencing")</f>
        <v>Turbo Fladry Fence Enterprise Budget - Total Costs for 1 Mile(s) of Fencing</v>
      </c>
      <c r="C9" s="380"/>
      <c r="D9" s="380"/>
      <c r="E9" s="380"/>
      <c r="F9" s="380"/>
      <c r="G9" s="380"/>
      <c r="H9" s="27">
        <v>2025</v>
      </c>
      <c r="I9" s="185"/>
      <c r="J9" s="185"/>
      <c r="K9" s="186"/>
      <c r="L9" s="3"/>
    </row>
    <row r="10" spans="1:21" ht="18.75" x14ac:dyDescent="0.25">
      <c r="A10" s="183"/>
      <c r="B10" s="19" t="s">
        <v>7</v>
      </c>
      <c r="C10" s="3"/>
      <c r="D10" s="3"/>
      <c r="E10" s="3"/>
      <c r="F10" s="3"/>
      <c r="G10" s="3"/>
      <c r="H10" s="20"/>
      <c r="I10" s="185"/>
      <c r="J10" s="185"/>
      <c r="K10" s="186"/>
      <c r="L10" s="3"/>
    </row>
    <row r="11" spans="1:21" ht="15.75" thickBot="1" x14ac:dyDescent="0.3">
      <c r="A11" s="216"/>
      <c r="B11" s="21" t="s">
        <v>8</v>
      </c>
      <c r="C11" s="22"/>
      <c r="D11" s="22"/>
      <c r="E11" s="23"/>
      <c r="F11" s="23"/>
      <c r="G11" s="23"/>
      <c r="H11" s="24"/>
      <c r="I11" s="185"/>
      <c r="J11" s="185"/>
      <c r="K11" s="186"/>
      <c r="L11" s="3"/>
    </row>
    <row r="12" spans="1:21" ht="45.75" thickBot="1" x14ac:dyDescent="0.3">
      <c r="A12" s="183"/>
      <c r="B12" s="50" t="s">
        <v>9</v>
      </c>
      <c r="C12" s="5" t="s">
        <v>10</v>
      </c>
      <c r="D12" s="5" t="s">
        <v>11</v>
      </c>
      <c r="E12" s="5" t="s">
        <v>12</v>
      </c>
      <c r="F12" s="5" t="str">
        <f>CONCATENATE("PER ",G4," MILE(S)")</f>
        <v>PER 1 MILE(S)</v>
      </c>
      <c r="G12" s="76" t="s">
        <v>13</v>
      </c>
      <c r="H12" s="75" t="s">
        <v>14</v>
      </c>
      <c r="I12" s="185"/>
      <c r="J12" s="185"/>
      <c r="K12" s="186"/>
      <c r="L12" s="3"/>
    </row>
    <row r="13" spans="1:21" x14ac:dyDescent="0.25">
      <c r="A13" s="183"/>
      <c r="B13" s="35" t="s">
        <v>16</v>
      </c>
      <c r="C13" s="41"/>
      <c r="D13" s="42"/>
      <c r="E13" s="41"/>
      <c r="F13" s="40"/>
      <c r="G13" s="43"/>
      <c r="H13" s="44"/>
      <c r="I13" s="185"/>
      <c r="J13" s="185"/>
      <c r="K13" s="186"/>
      <c r="L13" s="3"/>
    </row>
    <row r="14" spans="1:21" x14ac:dyDescent="0.25">
      <c r="A14" s="183"/>
      <c r="B14" s="25" t="s">
        <v>18</v>
      </c>
      <c r="C14" s="14" t="s">
        <v>19</v>
      </c>
      <c r="D14" s="30">
        <v>4668</v>
      </c>
      <c r="E14" s="14">
        <v>1</v>
      </c>
      <c r="F14" s="30">
        <f t="shared" ref="F14:F23" si="0">(D14*E14)*$G$4</f>
        <v>4668</v>
      </c>
      <c r="G14" s="145">
        <v>5</v>
      </c>
      <c r="H14" s="79">
        <f t="shared" ref="H14:H23" si="1">PMT($J$5,G14,F14)*(-1)</f>
        <v>1048.5593657854824</v>
      </c>
      <c r="I14" s="185"/>
      <c r="J14" s="185"/>
      <c r="K14" s="186"/>
      <c r="L14" s="3"/>
      <c r="R14" s="1"/>
    </row>
    <row r="15" spans="1:21" x14ac:dyDescent="0.25">
      <c r="A15" s="183"/>
      <c r="B15" s="25" t="s">
        <v>6</v>
      </c>
      <c r="C15" s="14" t="s">
        <v>20</v>
      </c>
      <c r="D15" s="30">
        <v>300</v>
      </c>
      <c r="E15" s="14">
        <v>1</v>
      </c>
      <c r="F15" s="30">
        <f t="shared" si="0"/>
        <v>300</v>
      </c>
      <c r="G15" s="145">
        <v>5</v>
      </c>
      <c r="H15" s="79">
        <f t="shared" si="1"/>
        <v>67.388134047910185</v>
      </c>
      <c r="I15" s="185"/>
      <c r="J15" s="185"/>
      <c r="K15" s="186"/>
      <c r="L15" s="3"/>
      <c r="U15" s="125"/>
    </row>
    <row r="16" spans="1:21" x14ac:dyDescent="0.25">
      <c r="A16" s="183"/>
      <c r="B16" s="25" t="s">
        <v>21</v>
      </c>
      <c r="C16" s="14" t="s">
        <v>22</v>
      </c>
      <c r="D16" s="30">
        <v>62</v>
      </c>
      <c r="E16" s="14">
        <v>1</v>
      </c>
      <c r="F16" s="30">
        <f t="shared" si="0"/>
        <v>62</v>
      </c>
      <c r="G16" s="145">
        <v>5</v>
      </c>
      <c r="H16" s="79">
        <f t="shared" si="1"/>
        <v>13.926881036568105</v>
      </c>
      <c r="I16" s="185"/>
      <c r="J16" s="185"/>
      <c r="K16" s="186"/>
      <c r="L16" s="3"/>
      <c r="U16" s="121"/>
    </row>
    <row r="17" spans="1:22" x14ac:dyDescent="0.25">
      <c r="A17" s="183"/>
      <c r="B17" s="25" t="s">
        <v>23</v>
      </c>
      <c r="C17" s="14" t="s">
        <v>19</v>
      </c>
      <c r="D17" s="30">
        <v>26.99</v>
      </c>
      <c r="E17" s="14">
        <v>4</v>
      </c>
      <c r="F17" s="30">
        <f t="shared" si="0"/>
        <v>107.96</v>
      </c>
      <c r="G17" s="145">
        <v>5</v>
      </c>
      <c r="H17" s="79">
        <f t="shared" si="1"/>
        <v>24.250743172707946</v>
      </c>
      <c r="I17" s="185"/>
      <c r="J17" s="185"/>
      <c r="K17" s="186"/>
      <c r="L17" s="3"/>
      <c r="U17" s="121"/>
      <c r="V17" s="126"/>
    </row>
    <row r="18" spans="1:22" x14ac:dyDescent="0.25">
      <c r="A18" s="183"/>
      <c r="B18" s="25" t="s">
        <v>24</v>
      </c>
      <c r="C18" s="14" t="s">
        <v>25</v>
      </c>
      <c r="D18" s="30">
        <v>1.99</v>
      </c>
      <c r="E18" s="14">
        <v>275</v>
      </c>
      <c r="F18" s="30">
        <f t="shared" si="0"/>
        <v>547.25</v>
      </c>
      <c r="G18" s="145">
        <v>5</v>
      </c>
      <c r="H18" s="79">
        <f t="shared" si="1"/>
        <v>122.92718785906281</v>
      </c>
      <c r="I18" s="185"/>
      <c r="J18" s="185"/>
      <c r="K18" s="186"/>
      <c r="L18" s="3"/>
      <c r="U18" s="121"/>
      <c r="V18" s="126"/>
    </row>
    <row r="19" spans="1:22" x14ac:dyDescent="0.25">
      <c r="A19" s="183"/>
      <c r="B19" s="33" t="s">
        <v>27</v>
      </c>
      <c r="C19" s="14" t="s">
        <v>28</v>
      </c>
      <c r="D19" s="104">
        <v>0.52</v>
      </c>
      <c r="E19" s="14">
        <v>275</v>
      </c>
      <c r="F19" s="30">
        <f t="shared" si="0"/>
        <v>143</v>
      </c>
      <c r="G19" s="145">
        <v>5</v>
      </c>
      <c r="H19" s="79">
        <f t="shared" si="1"/>
        <v>32.121677229503852</v>
      </c>
      <c r="I19" s="185"/>
      <c r="J19" s="185"/>
      <c r="K19" s="186"/>
      <c r="L19" s="3"/>
      <c r="U19" s="121"/>
      <c r="V19" s="126"/>
    </row>
    <row r="20" spans="1:22" x14ac:dyDescent="0.25">
      <c r="A20" s="183"/>
      <c r="B20" s="28" t="s">
        <v>29</v>
      </c>
      <c r="C20" s="14" t="s">
        <v>25</v>
      </c>
      <c r="D20" s="30">
        <v>14</v>
      </c>
      <c r="E20" s="14">
        <v>10</v>
      </c>
      <c r="F20" s="30">
        <f t="shared" si="0"/>
        <v>140</v>
      </c>
      <c r="G20" s="145">
        <v>5</v>
      </c>
      <c r="H20" s="79">
        <f t="shared" si="1"/>
        <v>31.44779588902475</v>
      </c>
      <c r="I20" s="185"/>
      <c r="J20" s="185"/>
      <c r="K20" s="186"/>
      <c r="L20" s="3"/>
    </row>
    <row r="21" spans="1:22" x14ac:dyDescent="0.25">
      <c r="A21" s="183"/>
      <c r="B21" s="25" t="s">
        <v>30</v>
      </c>
      <c r="C21" s="14" t="s">
        <v>28</v>
      </c>
      <c r="D21" s="30">
        <v>0.5</v>
      </c>
      <c r="E21" s="14">
        <v>10</v>
      </c>
      <c r="F21" s="30">
        <f t="shared" si="0"/>
        <v>5</v>
      </c>
      <c r="G21" s="145">
        <v>5</v>
      </c>
      <c r="H21" s="79">
        <f t="shared" si="1"/>
        <v>1.1231355674651697</v>
      </c>
      <c r="I21" s="185"/>
      <c r="J21" s="185"/>
      <c r="K21" s="186"/>
      <c r="L21" s="3"/>
    </row>
    <row r="22" spans="1:22" x14ac:dyDescent="0.25">
      <c r="A22" s="183"/>
      <c r="B22" s="25" t="s">
        <v>32</v>
      </c>
      <c r="C22" s="14" t="s">
        <v>33</v>
      </c>
      <c r="D22" s="30">
        <v>3.29</v>
      </c>
      <c r="E22" s="14">
        <v>2</v>
      </c>
      <c r="F22" s="30">
        <f t="shared" si="0"/>
        <v>6.58</v>
      </c>
      <c r="G22" s="145">
        <v>5</v>
      </c>
      <c r="H22" s="79">
        <f t="shared" si="1"/>
        <v>1.4780464067841632</v>
      </c>
      <c r="I22" s="185"/>
      <c r="J22" s="185"/>
      <c r="K22" s="186"/>
      <c r="L22" s="3"/>
    </row>
    <row r="23" spans="1:22" x14ac:dyDescent="0.25">
      <c r="A23" s="183"/>
      <c r="B23" s="25" t="s">
        <v>35</v>
      </c>
      <c r="C23" s="14" t="s">
        <v>36</v>
      </c>
      <c r="D23" s="104">
        <v>100</v>
      </c>
      <c r="E23" s="145">
        <v>2</v>
      </c>
      <c r="F23" s="30">
        <f t="shared" si="0"/>
        <v>200</v>
      </c>
      <c r="G23" s="145">
        <v>5</v>
      </c>
      <c r="H23" s="79">
        <f t="shared" si="1"/>
        <v>44.925422698606788</v>
      </c>
      <c r="I23" s="185"/>
      <c r="J23" s="185"/>
      <c r="K23" s="186"/>
      <c r="L23" s="3"/>
    </row>
    <row r="24" spans="1:22" ht="15.75" thickBot="1" x14ac:dyDescent="0.3">
      <c r="A24" s="183"/>
      <c r="B24" s="26" t="s">
        <v>39</v>
      </c>
      <c r="C24" s="6"/>
      <c r="D24" s="6"/>
      <c r="E24" s="7"/>
      <c r="F24" s="151">
        <f>SUM(F14:F23)</f>
        <v>6179.79</v>
      </c>
      <c r="G24" s="8"/>
      <c r="H24" s="88">
        <f>SUM(H14:H23)</f>
        <v>1388.1483896931161</v>
      </c>
      <c r="I24" s="185"/>
      <c r="J24" s="185"/>
      <c r="K24" s="186"/>
      <c r="L24" s="3"/>
    </row>
    <row r="25" spans="1:22" ht="15.75" thickTop="1" x14ac:dyDescent="0.25">
      <c r="A25" s="183"/>
      <c r="B25" s="36" t="s">
        <v>40</v>
      </c>
      <c r="C25" s="41"/>
      <c r="D25" s="41"/>
      <c r="E25" s="40"/>
      <c r="F25" s="41"/>
      <c r="G25" s="45"/>
      <c r="H25" s="46"/>
      <c r="I25" s="185"/>
      <c r="J25" s="185"/>
      <c r="K25" s="186"/>
      <c r="L25" s="3"/>
    </row>
    <row r="26" spans="1:22" x14ac:dyDescent="0.25">
      <c r="A26" s="183"/>
      <c r="B26" s="25" t="s">
        <v>42</v>
      </c>
      <c r="C26" s="14" t="s">
        <v>19</v>
      </c>
      <c r="D26" s="54">
        <f>IF($G$6="No",0.67,0)</f>
        <v>0.67</v>
      </c>
      <c r="E26" s="3">
        <v>20</v>
      </c>
      <c r="F26" s="54">
        <f>D26*E26*$G$4</f>
        <v>13.4</v>
      </c>
      <c r="G26" s="14" t="s">
        <v>43</v>
      </c>
      <c r="H26" s="69">
        <f>F26</f>
        <v>13.4</v>
      </c>
      <c r="I26" s="185"/>
      <c r="J26" s="185"/>
      <c r="K26" s="186"/>
      <c r="L26" s="3"/>
    </row>
    <row r="27" spans="1:22" x14ac:dyDescent="0.25">
      <c r="A27" s="183"/>
      <c r="B27" s="25" t="s">
        <v>44</v>
      </c>
      <c r="C27" s="14" t="s">
        <v>19</v>
      </c>
      <c r="D27" s="54">
        <f>IF($G$6="No",0.25,0)</f>
        <v>0.25</v>
      </c>
      <c r="E27" s="3">
        <v>10</v>
      </c>
      <c r="F27" s="54">
        <f t="shared" ref="F27:F28" si="2">D27*E27*$G$4</f>
        <v>2.5</v>
      </c>
      <c r="G27" s="14" t="s">
        <v>43</v>
      </c>
      <c r="H27" s="69">
        <f>F27</f>
        <v>2.5</v>
      </c>
      <c r="I27" s="185"/>
      <c r="J27" s="185"/>
      <c r="K27" s="186"/>
      <c r="L27" s="3"/>
    </row>
    <row r="28" spans="1:22" x14ac:dyDescent="0.25">
      <c r="A28" s="183"/>
      <c r="B28" s="33" t="s">
        <v>151</v>
      </c>
      <c r="C28" s="14" t="s">
        <v>19</v>
      </c>
      <c r="D28" s="113">
        <f>IF($G$6="Yes",0.22,0)</f>
        <v>0</v>
      </c>
      <c r="E28">
        <v>10</v>
      </c>
      <c r="F28" s="54">
        <f t="shared" si="2"/>
        <v>0</v>
      </c>
      <c r="G28" s="145" t="s">
        <v>43</v>
      </c>
      <c r="H28" s="152">
        <f>F28</f>
        <v>0</v>
      </c>
      <c r="I28" s="185"/>
      <c r="J28" s="185"/>
      <c r="K28" s="186"/>
      <c r="L28" s="3"/>
    </row>
    <row r="29" spans="1:22" ht="15.75" thickBot="1" x14ac:dyDescent="0.3">
      <c r="A29" s="183"/>
      <c r="B29" s="26" t="s">
        <v>45</v>
      </c>
      <c r="C29" s="6"/>
      <c r="D29" s="6"/>
      <c r="E29" s="7"/>
      <c r="F29" s="151">
        <f>SUM(F26:F27)</f>
        <v>15.9</v>
      </c>
      <c r="G29" s="8"/>
      <c r="H29" s="279">
        <f>SUM(H26:H28)</f>
        <v>15.9</v>
      </c>
      <c r="I29" s="185"/>
      <c r="J29" s="185"/>
      <c r="K29" s="186"/>
      <c r="L29" s="3"/>
    </row>
    <row r="30" spans="1:22" ht="15.75" thickTop="1" x14ac:dyDescent="0.25">
      <c r="A30" s="183"/>
      <c r="B30" s="36" t="s">
        <v>46</v>
      </c>
      <c r="C30" s="41"/>
      <c r="D30" s="41"/>
      <c r="E30" s="40"/>
      <c r="F30" s="41"/>
      <c r="G30" s="40"/>
      <c r="H30" s="47"/>
      <c r="I30" s="185"/>
      <c r="J30" s="185"/>
      <c r="K30" s="186"/>
      <c r="L30" s="3"/>
    </row>
    <row r="31" spans="1:22" x14ac:dyDescent="0.25">
      <c r="A31" s="183"/>
      <c r="B31" s="25" t="s">
        <v>47</v>
      </c>
      <c r="C31" s="14" t="s">
        <v>48</v>
      </c>
      <c r="D31" s="130">
        <v>20</v>
      </c>
      <c r="E31">
        <f>IF($G$5="Yes", (20 + 5 * MAX(0, INT($G$4 - 1))) * 1.2, 20 + 5 * MAX(0, INT($G$4 - 1)))</f>
        <v>20</v>
      </c>
      <c r="F31" s="30">
        <f>D31*E31</f>
        <v>400</v>
      </c>
      <c r="G31" s="118" t="s">
        <v>43</v>
      </c>
      <c r="H31" s="48">
        <f>F31</f>
        <v>400</v>
      </c>
      <c r="I31" s="185"/>
      <c r="J31" s="185"/>
      <c r="K31" s="186"/>
      <c r="L31" s="3"/>
    </row>
    <row r="32" spans="1:22" x14ac:dyDescent="0.25">
      <c r="A32" s="183"/>
      <c r="B32" s="49" t="s">
        <v>49</v>
      </c>
      <c r="C32" s="64" t="s">
        <v>48</v>
      </c>
      <c r="D32" s="131">
        <v>20</v>
      </c>
      <c r="E32" s="150">
        <f>IF($G$5="Yes",20*1.2,20)</f>
        <v>20</v>
      </c>
      <c r="F32" s="65">
        <f>D32*E32</f>
        <v>400</v>
      </c>
      <c r="G32" s="64" t="s">
        <v>43</v>
      </c>
      <c r="H32" s="66">
        <f>F32</f>
        <v>400</v>
      </c>
      <c r="I32" s="185"/>
      <c r="J32" s="185"/>
      <c r="K32" s="186"/>
      <c r="L32" s="3"/>
    </row>
    <row r="33" spans="1:32" ht="15.75" thickBot="1" x14ac:dyDescent="0.3">
      <c r="A33" s="183"/>
      <c r="B33" s="67" t="s">
        <v>50</v>
      </c>
      <c r="C33" s="59"/>
      <c r="D33" s="59"/>
      <c r="E33" s="60"/>
      <c r="F33" s="62">
        <f>SUM(F31:F32)</f>
        <v>800</v>
      </c>
      <c r="G33" s="61"/>
      <c r="H33" s="134">
        <f>SUM(H31:H32)</f>
        <v>800</v>
      </c>
      <c r="I33" s="185"/>
      <c r="J33" s="185"/>
      <c r="K33" s="186"/>
      <c r="L33" s="3"/>
    </row>
    <row r="34" spans="1:32" ht="16.5" thickTop="1" thickBot="1" x14ac:dyDescent="0.3">
      <c r="A34" s="183"/>
      <c r="B34" s="89" t="str">
        <f>CONCATENATE("Total Annualized Costs/Year/",G4," Mile")</f>
        <v>Total Annualized Costs/Year/1 Mile</v>
      </c>
      <c r="C34" s="70"/>
      <c r="D34" s="70"/>
      <c r="E34" s="70"/>
      <c r="F34" s="70"/>
      <c r="G34" s="70"/>
      <c r="H34" s="280">
        <f>SUM(H24,H29,H33)</f>
        <v>2204.0483896931164</v>
      </c>
      <c r="I34" s="185"/>
      <c r="J34" s="185"/>
      <c r="K34" s="186"/>
      <c r="L34" s="3"/>
    </row>
    <row r="35" spans="1:32" x14ac:dyDescent="0.25">
      <c r="A35" s="183"/>
      <c r="B35" s="185"/>
      <c r="C35" s="185"/>
      <c r="D35" s="185"/>
      <c r="E35" s="185"/>
      <c r="F35" s="185"/>
      <c r="G35" s="185"/>
      <c r="H35" s="185"/>
      <c r="I35" s="185"/>
      <c r="J35" s="185"/>
      <c r="K35" s="186"/>
      <c r="L35" s="3"/>
    </row>
    <row r="36" spans="1:32" x14ac:dyDescent="0.25">
      <c r="A36" s="183"/>
      <c r="B36" s="185"/>
      <c r="C36" s="185"/>
      <c r="D36" s="185"/>
      <c r="E36" s="185"/>
      <c r="F36" s="185"/>
      <c r="G36" s="185"/>
      <c r="H36" s="185"/>
      <c r="I36" s="185"/>
      <c r="J36" s="185"/>
      <c r="K36" s="186"/>
      <c r="L36" s="3"/>
      <c r="R36" s="146"/>
      <c r="S36" s="147"/>
      <c r="T36" s="147"/>
      <c r="U36" s="147"/>
      <c r="V36" s="147"/>
      <c r="W36" s="147"/>
      <c r="X36" s="148"/>
    </row>
    <row r="37" spans="1:32" x14ac:dyDescent="0.25">
      <c r="A37" s="183"/>
      <c r="B37" s="185"/>
      <c r="C37" s="185"/>
      <c r="D37" s="185"/>
      <c r="E37" s="185"/>
      <c r="F37" s="185"/>
      <c r="G37" s="185"/>
      <c r="H37" s="185"/>
      <c r="I37" s="185"/>
      <c r="J37" s="185"/>
      <c r="K37" s="186"/>
      <c r="L37" s="3"/>
      <c r="R37" s="146"/>
      <c r="S37" s="147"/>
      <c r="T37" s="147"/>
      <c r="U37" s="147"/>
      <c r="V37" s="147"/>
      <c r="W37" s="147"/>
      <c r="X37" s="148"/>
    </row>
    <row r="38" spans="1:32" ht="15.75" thickBot="1" x14ac:dyDescent="0.3">
      <c r="A38" s="217"/>
      <c r="B38" s="208"/>
      <c r="C38" s="208"/>
      <c r="D38" s="208"/>
      <c r="E38" s="208"/>
      <c r="F38" s="208"/>
      <c r="G38" s="208"/>
      <c r="H38" s="208"/>
      <c r="I38" s="218"/>
      <c r="J38" s="218"/>
      <c r="K38" s="219"/>
      <c r="L38" s="3"/>
      <c r="R38" s="146"/>
      <c r="S38" s="147"/>
      <c r="T38" s="147"/>
      <c r="U38" s="147"/>
      <c r="V38" s="147"/>
      <c r="W38" s="147"/>
      <c r="X38" s="148"/>
    </row>
    <row r="39" spans="1:32" x14ac:dyDescent="0.25">
      <c r="L39" s="3"/>
    </row>
    <row r="40" spans="1:32" x14ac:dyDescent="0.25">
      <c r="L40" s="3"/>
    </row>
    <row r="41" spans="1:32" x14ac:dyDescent="0.25">
      <c r="L41" s="3"/>
    </row>
    <row r="42" spans="1:32" x14ac:dyDescent="0.25">
      <c r="L42" s="3"/>
      <c r="V42" s="3"/>
      <c r="W42" s="3"/>
      <c r="AB42" s="129"/>
      <c r="AC42" s="125"/>
      <c r="AD42" s="125"/>
    </row>
    <row r="43" spans="1:32" x14ac:dyDescent="0.25">
      <c r="A43" s="1"/>
      <c r="L43" s="3"/>
      <c r="R43" s="144"/>
      <c r="S43" s="144"/>
      <c r="T43" s="144"/>
      <c r="U43" s="144"/>
      <c r="W43" s="128"/>
      <c r="X43" s="3"/>
      <c r="Y43" s="3"/>
      <c r="Z43" s="3"/>
      <c r="AD43" s="128"/>
    </row>
    <row r="44" spans="1:32" ht="15.75" thickBot="1" x14ac:dyDescent="0.3">
      <c r="L44" s="3"/>
      <c r="R44" s="359"/>
      <c r="S44" s="359"/>
      <c r="T44" s="359"/>
      <c r="U44" s="359"/>
      <c r="Y44" s="359"/>
      <c r="Z44" s="359"/>
    </row>
    <row r="45" spans="1:32" ht="14.1" customHeight="1" x14ac:dyDescent="0.25">
      <c r="B45" s="360" t="s">
        <v>214</v>
      </c>
      <c r="C45" s="361"/>
      <c r="D45" s="361"/>
      <c r="E45" s="361"/>
      <c r="F45" s="361"/>
      <c r="G45" s="362"/>
      <c r="L45" s="3"/>
      <c r="Y45" s="3"/>
    </row>
    <row r="46" spans="1:32" ht="14.45" customHeight="1" x14ac:dyDescent="0.25">
      <c r="B46" s="363"/>
      <c r="C46" s="364"/>
      <c r="D46" s="364"/>
      <c r="E46" s="364"/>
      <c r="F46" s="364"/>
      <c r="G46" s="365"/>
      <c r="L46" s="3"/>
      <c r="R46" s="168"/>
      <c r="S46" s="168"/>
      <c r="T46" s="168"/>
      <c r="U46" s="168"/>
      <c r="V46" s="168"/>
      <c r="W46" s="168"/>
      <c r="X46" s="90"/>
      <c r="Y46" s="16"/>
      <c r="Z46" s="168"/>
      <c r="AA46" s="168"/>
      <c r="AB46" s="168"/>
      <c r="AC46" s="168"/>
      <c r="AD46" s="168"/>
      <c r="AE46" s="168"/>
      <c r="AF46" s="90"/>
    </row>
    <row r="47" spans="1:32" ht="15.4" customHeight="1" x14ac:dyDescent="0.25">
      <c r="B47" s="221" t="s">
        <v>0</v>
      </c>
      <c r="C47" s="220" t="s">
        <v>1</v>
      </c>
      <c r="D47" s="220" t="s">
        <v>2</v>
      </c>
      <c r="E47" s="220" t="s">
        <v>3</v>
      </c>
      <c r="F47" s="383" t="s">
        <v>4</v>
      </c>
      <c r="G47" s="384"/>
      <c r="L47" s="3"/>
      <c r="R47" s="90"/>
      <c r="S47" s="3"/>
      <c r="T47" s="3"/>
      <c r="U47" s="3"/>
      <c r="V47" s="3"/>
      <c r="W47" s="3"/>
      <c r="X47" s="3"/>
      <c r="Z47" s="90"/>
      <c r="AA47" s="3"/>
      <c r="AB47" s="3"/>
      <c r="AC47" s="3"/>
      <c r="AD47" s="3"/>
      <c r="AE47" s="3"/>
      <c r="AF47" s="3"/>
    </row>
    <row r="48" spans="1:32" x14ac:dyDescent="0.25">
      <c r="B48" s="25" t="s">
        <v>17</v>
      </c>
      <c r="C48" s="253">
        <v>724.25</v>
      </c>
      <c r="D48">
        <v>4</v>
      </c>
      <c r="E48" s="253">
        <f>C48*D48</f>
        <v>2897</v>
      </c>
      <c r="F48" s="381" t="s">
        <v>210</v>
      </c>
      <c r="G48" s="382"/>
      <c r="L48" s="3"/>
      <c r="R48" s="17"/>
      <c r="S48" s="14"/>
      <c r="T48" s="14"/>
      <c r="U48" s="3"/>
      <c r="V48" s="3"/>
      <c r="W48" s="3"/>
      <c r="X48" s="3"/>
      <c r="Z48" s="17"/>
      <c r="AA48" s="14"/>
      <c r="AB48" s="14"/>
      <c r="AC48" s="3"/>
      <c r="AD48" s="3"/>
      <c r="AE48" s="3"/>
      <c r="AF48" s="3"/>
    </row>
    <row r="49" spans="2:32" ht="14.1" customHeight="1" x14ac:dyDescent="0.25">
      <c r="B49" s="25" t="s">
        <v>6</v>
      </c>
      <c r="C49" s="253">
        <v>300</v>
      </c>
      <c r="D49">
        <v>1</v>
      </c>
      <c r="E49" s="253">
        <f>C49*D49</f>
        <v>300</v>
      </c>
      <c r="F49" s="357" t="s">
        <v>211</v>
      </c>
      <c r="G49" s="358"/>
      <c r="H49" s="57"/>
      <c r="I49" s="57"/>
      <c r="J49" s="57"/>
      <c r="K49" s="56"/>
      <c r="L49" s="3"/>
      <c r="M49" s="57"/>
      <c r="N49" s="57"/>
      <c r="O49" s="57"/>
      <c r="P49" s="56"/>
      <c r="R49" s="105"/>
      <c r="S49" s="91"/>
      <c r="T49" s="91"/>
      <c r="U49" s="106"/>
      <c r="V49" s="106"/>
      <c r="W49" s="171"/>
      <c r="X49" s="171"/>
      <c r="Z49" s="105"/>
      <c r="AA49" s="91"/>
      <c r="AB49" s="91"/>
      <c r="AC49" s="106"/>
      <c r="AD49" s="106"/>
      <c r="AE49" s="107"/>
      <c r="AF49" s="107"/>
    </row>
    <row r="50" spans="2:32" x14ac:dyDescent="0.25">
      <c r="B50" s="25" t="s">
        <v>21</v>
      </c>
      <c r="C50" s="253">
        <v>64.989999999999995</v>
      </c>
      <c r="D50">
        <v>1</v>
      </c>
      <c r="E50" s="253">
        <v>62</v>
      </c>
      <c r="F50" s="357" t="s">
        <v>212</v>
      </c>
      <c r="G50" s="358"/>
      <c r="R50" s="3"/>
      <c r="S50" s="14"/>
      <c r="T50" s="30"/>
      <c r="U50" s="14"/>
      <c r="V50" s="3"/>
      <c r="W50" s="108"/>
      <c r="X50" s="108"/>
      <c r="Z50" s="3"/>
      <c r="AA50" s="14"/>
      <c r="AB50" s="30"/>
      <c r="AC50" s="14"/>
      <c r="AD50" s="3"/>
    </row>
    <row r="51" spans="2:32" x14ac:dyDescent="0.25">
      <c r="B51" s="25" t="s">
        <v>23</v>
      </c>
      <c r="C51" s="253">
        <v>26.99</v>
      </c>
      <c r="D51">
        <v>4</v>
      </c>
      <c r="E51" s="253">
        <f>C51*D51</f>
        <v>107.96</v>
      </c>
      <c r="F51" s="357" t="s">
        <v>213</v>
      </c>
      <c r="G51" s="358"/>
      <c r="R51" s="3"/>
      <c r="S51" s="14"/>
      <c r="T51" s="30"/>
      <c r="U51" s="14"/>
      <c r="V51" s="30"/>
      <c r="W51" s="97"/>
      <c r="X51" s="104"/>
      <c r="Z51" s="3"/>
      <c r="AA51" s="14"/>
      <c r="AB51" s="30"/>
      <c r="AC51" s="14"/>
      <c r="AD51" s="30"/>
      <c r="AE51" s="145"/>
      <c r="AF51" s="104"/>
    </row>
    <row r="52" spans="2:32" x14ac:dyDescent="0.25">
      <c r="B52" s="25" t="s">
        <v>24</v>
      </c>
      <c r="C52" s="253">
        <v>1.99</v>
      </c>
      <c r="D52">
        <v>275</v>
      </c>
      <c r="E52" s="253">
        <f>C52*D52</f>
        <v>547.25</v>
      </c>
      <c r="F52" s="357" t="s">
        <v>213</v>
      </c>
      <c r="G52" s="358"/>
      <c r="R52" s="3"/>
      <c r="S52" s="14"/>
      <c r="T52" s="30"/>
      <c r="U52" s="14"/>
      <c r="V52" s="30"/>
      <c r="W52" s="97"/>
      <c r="X52" s="104"/>
      <c r="Z52" s="3"/>
      <c r="AA52" s="14"/>
      <c r="AB52" s="30"/>
      <c r="AC52" s="14"/>
      <c r="AD52" s="30"/>
      <c r="AE52" s="145"/>
      <c r="AF52" s="104"/>
    </row>
    <row r="53" spans="2:32" x14ac:dyDescent="0.25">
      <c r="B53" s="25" t="s">
        <v>26</v>
      </c>
      <c r="C53" s="254">
        <v>0.52</v>
      </c>
      <c r="D53">
        <v>275</v>
      </c>
      <c r="E53" s="254">
        <f>C53*D53</f>
        <v>143</v>
      </c>
      <c r="F53" s="357" t="s">
        <v>213</v>
      </c>
      <c r="G53" s="358"/>
      <c r="R53" s="3"/>
      <c r="S53" s="14"/>
      <c r="T53" s="30"/>
      <c r="U53" s="14"/>
      <c r="V53" s="30"/>
      <c r="W53" s="97"/>
      <c r="X53" s="104"/>
      <c r="Z53" s="3"/>
      <c r="AA53" s="14"/>
      <c r="AB53" s="30"/>
      <c r="AC53" s="14"/>
      <c r="AD53" s="30"/>
      <c r="AE53" s="145"/>
      <c r="AF53" s="104"/>
    </row>
    <row r="54" spans="2:32" x14ac:dyDescent="0.25">
      <c r="B54" s="25" t="s">
        <v>29</v>
      </c>
      <c r="C54" s="253">
        <v>14</v>
      </c>
      <c r="D54">
        <v>10</v>
      </c>
      <c r="E54" s="253">
        <f t="shared" ref="E54:E59" si="3">C54*D54</f>
        <v>140</v>
      </c>
      <c r="F54" s="357" t="s">
        <v>215</v>
      </c>
      <c r="G54" s="358"/>
      <c r="R54" s="3"/>
      <c r="S54" s="14"/>
      <c r="T54" s="30"/>
      <c r="U54" s="14"/>
      <c r="V54" s="30"/>
      <c r="W54" s="97"/>
      <c r="X54" s="104"/>
      <c r="Z54" s="3"/>
      <c r="AA54" s="14"/>
      <c r="AB54" s="30"/>
      <c r="AC54" s="14"/>
      <c r="AD54" s="30"/>
      <c r="AE54" s="145"/>
      <c r="AF54" s="104"/>
    </row>
    <row r="55" spans="2:32" x14ac:dyDescent="0.25">
      <c r="B55" s="25" t="s">
        <v>30</v>
      </c>
      <c r="C55" s="253">
        <v>0.5</v>
      </c>
      <c r="D55">
        <v>10</v>
      </c>
      <c r="E55" s="253">
        <f t="shared" si="3"/>
        <v>5</v>
      </c>
      <c r="F55" s="357" t="s">
        <v>213</v>
      </c>
      <c r="G55" s="358"/>
      <c r="L55" s="3"/>
      <c r="R55" s="93"/>
      <c r="S55" s="14"/>
      <c r="T55" s="14"/>
      <c r="U55" s="3"/>
      <c r="V55" s="117"/>
      <c r="W55" s="15"/>
      <c r="X55" s="16"/>
      <c r="Z55" s="93"/>
      <c r="AA55" s="14"/>
      <c r="AB55" s="14"/>
      <c r="AC55" s="3"/>
      <c r="AD55" s="169"/>
      <c r="AE55" s="15"/>
      <c r="AF55" s="16"/>
    </row>
    <row r="56" spans="2:32" x14ac:dyDescent="0.25">
      <c r="B56" s="25" t="s">
        <v>31</v>
      </c>
      <c r="C56" s="253">
        <v>50</v>
      </c>
      <c r="D56">
        <v>1</v>
      </c>
      <c r="E56" s="253">
        <f t="shared" si="3"/>
        <v>50</v>
      </c>
      <c r="F56" s="357" t="s">
        <v>213</v>
      </c>
      <c r="G56" s="358"/>
      <c r="L56" s="3"/>
      <c r="Q56" s="3"/>
      <c r="R56" s="93"/>
      <c r="S56" s="14"/>
      <c r="T56" s="14"/>
      <c r="U56" s="3"/>
      <c r="V56" s="14"/>
      <c r="W56" s="15"/>
      <c r="X56" s="15"/>
      <c r="Z56" s="93"/>
      <c r="AA56" s="14"/>
      <c r="AB56" s="14"/>
      <c r="AC56" s="3"/>
      <c r="AD56" s="14"/>
      <c r="AE56" s="15"/>
      <c r="AF56" s="15"/>
    </row>
    <row r="57" spans="2:32" x14ac:dyDescent="0.25">
      <c r="B57" s="25" t="s">
        <v>34</v>
      </c>
      <c r="C57" s="253">
        <v>12.99</v>
      </c>
      <c r="D57">
        <v>1</v>
      </c>
      <c r="E57" s="253">
        <f t="shared" si="3"/>
        <v>12.99</v>
      </c>
      <c r="F57" s="357" t="s">
        <v>216</v>
      </c>
      <c r="G57" s="358"/>
      <c r="L57" s="3"/>
      <c r="Q57" s="3"/>
      <c r="R57" s="3"/>
      <c r="S57" s="14"/>
      <c r="T57" s="54"/>
      <c r="U57" s="3"/>
      <c r="V57" s="54"/>
      <c r="W57" s="14"/>
      <c r="X57" s="30"/>
      <c r="Z57" s="3"/>
      <c r="AA57" s="14"/>
      <c r="AB57" s="54"/>
      <c r="AC57" s="3"/>
      <c r="AD57" s="117"/>
      <c r="AE57" s="14"/>
      <c r="AF57" s="30"/>
    </row>
    <row r="58" spans="2:32" x14ac:dyDescent="0.25">
      <c r="B58" s="25" t="s">
        <v>37</v>
      </c>
      <c r="C58" s="253">
        <v>13</v>
      </c>
      <c r="D58">
        <v>1</v>
      </c>
      <c r="E58" s="253">
        <f t="shared" si="3"/>
        <v>13</v>
      </c>
      <c r="F58" s="357" t="s">
        <v>201</v>
      </c>
      <c r="G58" s="358"/>
      <c r="L58" s="3"/>
      <c r="Q58" s="3"/>
      <c r="R58" s="93"/>
      <c r="S58" s="14"/>
      <c r="T58" s="14"/>
      <c r="U58" s="3"/>
      <c r="V58" s="117"/>
      <c r="W58" s="15"/>
      <c r="X58" s="16"/>
      <c r="Z58" s="93"/>
      <c r="AA58" s="14"/>
      <c r="AB58" s="14"/>
      <c r="AC58" s="3"/>
      <c r="AD58" s="169"/>
      <c r="AE58" s="15"/>
      <c r="AF58" s="16"/>
    </row>
    <row r="59" spans="2:32" x14ac:dyDescent="0.25">
      <c r="B59" s="25" t="s">
        <v>38</v>
      </c>
      <c r="C59" s="253">
        <v>3.29</v>
      </c>
      <c r="D59">
        <v>2</v>
      </c>
      <c r="E59" s="253">
        <f t="shared" si="3"/>
        <v>6.58</v>
      </c>
      <c r="F59" s="357" t="s">
        <v>213</v>
      </c>
      <c r="G59" s="358"/>
      <c r="J59" s="125"/>
      <c r="K59" s="128"/>
      <c r="L59" s="3"/>
      <c r="M59" s="3"/>
      <c r="N59" s="3"/>
      <c r="O59" s="3"/>
      <c r="P59" s="3"/>
      <c r="Q59" s="3"/>
      <c r="R59" s="93"/>
      <c r="S59" s="14"/>
      <c r="T59" s="14"/>
      <c r="U59" s="3"/>
      <c r="V59" s="14"/>
      <c r="W59" s="3"/>
      <c r="X59" s="3"/>
      <c r="Z59" s="93"/>
      <c r="AA59" s="14"/>
      <c r="AB59" s="14"/>
      <c r="AC59" s="3"/>
      <c r="AD59" s="14"/>
      <c r="AE59" s="3"/>
      <c r="AF59" s="3"/>
    </row>
    <row r="60" spans="2:32" x14ac:dyDescent="0.25">
      <c r="B60" s="25" t="s">
        <v>41</v>
      </c>
      <c r="C60" s="253">
        <v>100</v>
      </c>
      <c r="D60">
        <v>2</v>
      </c>
      <c r="E60" s="253">
        <f>C60*D60</f>
        <v>200</v>
      </c>
      <c r="F60" s="357" t="s">
        <v>201</v>
      </c>
      <c r="G60" s="358"/>
      <c r="J60" s="125"/>
      <c r="K60" s="128"/>
      <c r="L60" s="3"/>
      <c r="N60" s="17"/>
      <c r="O60" s="3"/>
      <c r="P60" s="3"/>
      <c r="Q60" s="3"/>
      <c r="R60" s="3"/>
      <c r="S60" s="14"/>
      <c r="T60" s="130"/>
      <c r="U60" s="108"/>
      <c r="V60" s="30"/>
      <c r="W60" s="118"/>
      <c r="X60" s="15"/>
      <c r="Z60" s="3"/>
      <c r="AA60" s="14"/>
      <c r="AB60" s="130"/>
      <c r="AD60" s="30"/>
      <c r="AE60" s="118"/>
      <c r="AF60" s="15"/>
    </row>
    <row r="61" spans="2:32" x14ac:dyDescent="0.25">
      <c r="B61" s="25" t="s">
        <v>15</v>
      </c>
      <c r="C61" s="253">
        <v>119</v>
      </c>
      <c r="D61">
        <v>1</v>
      </c>
      <c r="E61" s="253">
        <f>C61*D61</f>
        <v>119</v>
      </c>
      <c r="F61" s="357" t="s">
        <v>211</v>
      </c>
      <c r="G61" s="358"/>
      <c r="J61" s="125"/>
      <c r="K61" s="128"/>
      <c r="L61" s="3"/>
      <c r="M61" s="3"/>
      <c r="N61" s="9"/>
      <c r="O61" s="9"/>
      <c r="P61" s="9"/>
      <c r="Q61" s="9"/>
      <c r="R61" s="3"/>
      <c r="S61" s="14"/>
      <c r="T61" s="130"/>
      <c r="U61" s="172"/>
      <c r="V61" s="30"/>
      <c r="W61" s="173"/>
      <c r="X61" s="130"/>
      <c r="Z61" s="3"/>
      <c r="AA61" s="14"/>
      <c r="AB61" s="130"/>
      <c r="AC61" s="172"/>
      <c r="AD61" s="30"/>
      <c r="AE61" s="173"/>
      <c r="AF61" s="130"/>
    </row>
    <row r="62" spans="2:32" x14ac:dyDescent="0.25">
      <c r="B62" s="222" t="s">
        <v>165</v>
      </c>
      <c r="C62" s="223"/>
      <c r="D62" s="223"/>
      <c r="E62" s="223"/>
      <c r="F62" s="223"/>
      <c r="G62" s="224"/>
      <c r="J62" s="125"/>
      <c r="K62" s="128"/>
      <c r="L62" s="3"/>
      <c r="M62" s="3"/>
      <c r="N62" s="9"/>
      <c r="O62" s="9"/>
      <c r="P62" s="10"/>
      <c r="Q62" s="10"/>
      <c r="R62" s="3"/>
      <c r="S62" s="97"/>
      <c r="T62" s="130"/>
      <c r="U62" s="108"/>
      <c r="V62" s="80"/>
      <c r="W62" s="170"/>
      <c r="X62" s="104"/>
      <c r="Z62" s="3"/>
      <c r="AA62" s="97"/>
      <c r="AB62" s="130"/>
      <c r="AC62" s="108"/>
      <c r="AD62" s="104"/>
      <c r="AE62" s="97"/>
      <c r="AF62" s="104"/>
    </row>
    <row r="63" spans="2:32" x14ac:dyDescent="0.25">
      <c r="B63" s="369" t="s">
        <v>217</v>
      </c>
      <c r="C63" s="370"/>
      <c r="D63" s="370"/>
      <c r="E63" s="370"/>
      <c r="F63" s="370"/>
      <c r="G63" s="371"/>
      <c r="J63" s="125"/>
      <c r="K63" s="128"/>
      <c r="L63" s="3"/>
      <c r="M63" s="3"/>
      <c r="N63" s="378"/>
      <c r="O63" s="378"/>
      <c r="P63" s="11"/>
      <c r="Q63" s="11"/>
      <c r="R63" s="14"/>
      <c r="S63" s="14"/>
      <c r="T63" s="14"/>
      <c r="U63" s="3"/>
      <c r="V63" s="117"/>
      <c r="W63" s="15"/>
      <c r="X63" s="16"/>
      <c r="Z63" s="14"/>
      <c r="AA63" s="14"/>
      <c r="AB63" s="14"/>
      <c r="AC63" s="3"/>
      <c r="AD63" s="115"/>
      <c r="AE63" s="15"/>
      <c r="AF63" s="16"/>
    </row>
    <row r="64" spans="2:32" x14ac:dyDescent="0.25">
      <c r="B64" s="366" t="s">
        <v>280</v>
      </c>
      <c r="C64" s="367"/>
      <c r="D64" s="367"/>
      <c r="E64" s="367"/>
      <c r="F64" s="367"/>
      <c r="G64" s="368"/>
      <c r="J64" s="125"/>
      <c r="K64" s="128"/>
      <c r="L64" s="3"/>
      <c r="M64" s="3"/>
      <c r="N64" s="12"/>
      <c r="O64" s="9"/>
      <c r="P64" s="11"/>
      <c r="Q64" s="11"/>
      <c r="R64" s="174"/>
      <c r="S64" s="175"/>
      <c r="T64" s="175"/>
      <c r="U64" s="175"/>
      <c r="V64" s="175"/>
      <c r="W64" s="175"/>
      <c r="X64" s="176"/>
      <c r="Z64" s="146"/>
      <c r="AA64" s="147"/>
      <c r="AB64" s="147"/>
      <c r="AC64" s="147"/>
      <c r="AD64" s="147"/>
      <c r="AE64" s="147"/>
      <c r="AF64" s="148"/>
    </row>
    <row r="65" spans="2:32" ht="15.75" thickBot="1" x14ac:dyDescent="0.3">
      <c r="B65" s="354" t="s">
        <v>244</v>
      </c>
      <c r="C65" s="355"/>
      <c r="D65" s="355"/>
      <c r="E65" s="355"/>
      <c r="F65" s="355"/>
      <c r="G65" s="356"/>
      <c r="J65" s="125"/>
      <c r="K65" s="128"/>
      <c r="L65" s="3"/>
      <c r="M65" s="3"/>
      <c r="N65" s="12"/>
      <c r="O65" s="9"/>
      <c r="P65" s="11"/>
      <c r="Q65" s="11"/>
      <c r="R65" s="174"/>
      <c r="S65" s="175"/>
      <c r="T65" s="175"/>
      <c r="U65" s="175"/>
      <c r="V65" s="175"/>
      <c r="W65" s="175"/>
      <c r="X65" s="176"/>
      <c r="Z65" s="146"/>
      <c r="AA65" s="147"/>
      <c r="AB65" s="147"/>
      <c r="AC65" s="147"/>
      <c r="AD65" s="147"/>
      <c r="AE65" s="147"/>
      <c r="AF65" s="148"/>
    </row>
    <row r="66" spans="2:32" x14ac:dyDescent="0.25">
      <c r="J66" s="125"/>
      <c r="K66" s="128"/>
      <c r="L66" s="3"/>
      <c r="M66" s="3"/>
      <c r="N66" s="12"/>
      <c r="O66" s="9"/>
      <c r="P66" s="11"/>
      <c r="Q66" s="11"/>
      <c r="R66" s="174"/>
      <c r="S66" s="175"/>
      <c r="T66" s="175"/>
      <c r="U66" s="175"/>
      <c r="V66" s="175"/>
      <c r="W66" s="175"/>
      <c r="X66" s="176"/>
      <c r="Z66" s="146"/>
      <c r="AA66" s="147"/>
      <c r="AB66" s="147"/>
      <c r="AC66" s="147"/>
      <c r="AD66" s="147"/>
      <c r="AE66" s="147"/>
      <c r="AF66" s="148"/>
    </row>
    <row r="67" spans="2:32" x14ac:dyDescent="0.25">
      <c r="L67" s="3"/>
      <c r="M67" s="3"/>
      <c r="N67" s="12"/>
      <c r="O67" s="9"/>
      <c r="P67" s="11"/>
      <c r="Q67" s="11"/>
    </row>
    <row r="68" spans="2:32" x14ac:dyDescent="0.25">
      <c r="I68" s="2"/>
      <c r="J68" s="2"/>
      <c r="K68" s="2"/>
      <c r="L68" s="2"/>
      <c r="M68" s="2"/>
      <c r="N68" s="13"/>
      <c r="O68" s="9"/>
      <c r="P68" s="11"/>
      <c r="Q68" s="11"/>
    </row>
    <row r="69" spans="2:32" x14ac:dyDescent="0.25">
      <c r="J69" s="34"/>
      <c r="L69" s="34"/>
      <c r="M69" s="1"/>
      <c r="N69" s="12"/>
      <c r="O69" s="9"/>
      <c r="P69" s="18"/>
      <c r="Q69" s="11"/>
    </row>
    <row r="70" spans="2:32" x14ac:dyDescent="0.25">
      <c r="J70" s="31"/>
      <c r="L70" s="34"/>
      <c r="M70" s="1"/>
      <c r="N70" s="12"/>
      <c r="O70" s="9"/>
      <c r="P70" s="11"/>
      <c r="Q70" s="11"/>
    </row>
    <row r="71" spans="2:32" x14ac:dyDescent="0.25">
      <c r="J71" s="31"/>
      <c r="M71" s="1"/>
    </row>
    <row r="72" spans="2:32" ht="14.65" customHeight="1" x14ac:dyDescent="0.25">
      <c r="B72" s="168"/>
      <c r="C72" s="168"/>
      <c r="D72" s="168"/>
      <c r="E72" s="168"/>
      <c r="F72" s="168"/>
      <c r="G72" s="168"/>
      <c r="H72" s="90"/>
      <c r="J72" s="31"/>
      <c r="M72" s="1"/>
    </row>
    <row r="73" spans="2:32" ht="18.75" x14ac:dyDescent="0.25">
      <c r="B73" s="90"/>
      <c r="C73" s="3"/>
      <c r="D73" s="3"/>
      <c r="E73" s="3"/>
      <c r="F73" s="3"/>
      <c r="G73" s="3"/>
      <c r="H73" s="3"/>
    </row>
    <row r="74" spans="2:32" x14ac:dyDescent="0.25">
      <c r="B74" s="17"/>
      <c r="C74" s="14"/>
      <c r="D74" s="14"/>
      <c r="E74" s="3"/>
      <c r="F74" s="3"/>
      <c r="G74" s="3"/>
      <c r="H74" s="3"/>
    </row>
    <row r="75" spans="2:32" x14ac:dyDescent="0.25">
      <c r="B75" s="105"/>
      <c r="C75" s="91"/>
      <c r="D75" s="91"/>
      <c r="E75" s="106"/>
      <c r="F75" s="106"/>
      <c r="G75" s="107"/>
      <c r="H75" s="107"/>
    </row>
    <row r="76" spans="2:32" x14ac:dyDescent="0.25">
      <c r="B76" s="3"/>
      <c r="C76" s="14"/>
      <c r="D76" s="30"/>
      <c r="E76" s="14"/>
      <c r="F76" s="3"/>
    </row>
    <row r="77" spans="2:32" x14ac:dyDescent="0.25">
      <c r="B77" s="3"/>
      <c r="C77" s="14"/>
      <c r="D77" s="30"/>
      <c r="E77" s="14"/>
      <c r="F77" s="30"/>
      <c r="G77" s="145"/>
      <c r="H77" s="104"/>
    </row>
    <row r="78" spans="2:32" x14ac:dyDescent="0.25">
      <c r="B78" s="3"/>
      <c r="C78" s="14"/>
      <c r="D78" s="30"/>
      <c r="E78" s="14"/>
      <c r="F78" s="30"/>
      <c r="G78" s="145"/>
      <c r="H78" s="104"/>
    </row>
    <row r="79" spans="2:32" x14ac:dyDescent="0.25">
      <c r="B79" s="3"/>
      <c r="C79" s="14"/>
      <c r="D79" s="30"/>
      <c r="E79" s="14"/>
      <c r="F79" s="30"/>
      <c r="G79" s="145"/>
      <c r="H79" s="104"/>
    </row>
    <row r="80" spans="2:32" x14ac:dyDescent="0.25">
      <c r="B80" s="3"/>
      <c r="C80" s="14"/>
      <c r="D80" s="30"/>
      <c r="E80" s="14"/>
      <c r="F80" s="30"/>
      <c r="G80" s="145"/>
      <c r="H80" s="104"/>
      <c r="I80" s="57"/>
      <c r="J80" s="57"/>
      <c r="K80" s="56"/>
    </row>
    <row r="81" spans="2:11" x14ac:dyDescent="0.25">
      <c r="B81" s="3"/>
      <c r="C81" s="14"/>
      <c r="D81" s="30"/>
      <c r="E81" s="14"/>
      <c r="F81" s="30"/>
      <c r="G81" s="145"/>
      <c r="H81" s="104"/>
    </row>
    <row r="82" spans="2:11" x14ac:dyDescent="0.25">
      <c r="C82" s="14"/>
      <c r="D82" s="104"/>
      <c r="E82" s="14"/>
      <c r="F82" s="30"/>
      <c r="G82" s="145"/>
      <c r="H82" s="104"/>
      <c r="K82" s="120"/>
    </row>
    <row r="83" spans="2:11" x14ac:dyDescent="0.25">
      <c r="B83" s="94"/>
      <c r="C83" s="14"/>
      <c r="D83" s="30"/>
      <c r="E83" s="14"/>
      <c r="F83" s="30"/>
      <c r="G83" s="145"/>
      <c r="H83" s="104"/>
    </row>
    <row r="84" spans="2:11" x14ac:dyDescent="0.25">
      <c r="B84" s="3"/>
      <c r="C84" s="14"/>
      <c r="D84" s="30"/>
      <c r="E84" s="14"/>
      <c r="F84" s="30"/>
      <c r="G84" s="145"/>
      <c r="H84" s="104"/>
    </row>
    <row r="85" spans="2:11" x14ac:dyDescent="0.25">
      <c r="B85" s="3"/>
      <c r="C85" s="14"/>
      <c r="D85" s="30"/>
      <c r="E85" s="14"/>
      <c r="F85" s="30"/>
      <c r="G85" s="145"/>
      <c r="H85" s="104"/>
    </row>
    <row r="86" spans="2:11" x14ac:dyDescent="0.25">
      <c r="B86" s="3"/>
      <c r="C86" s="14"/>
      <c r="D86" s="104"/>
      <c r="E86" s="145"/>
      <c r="F86" s="30"/>
      <c r="G86" s="145"/>
      <c r="H86" s="104"/>
    </row>
    <row r="87" spans="2:11" x14ac:dyDescent="0.25">
      <c r="B87" s="93"/>
      <c r="C87" s="14"/>
      <c r="D87" s="14"/>
      <c r="E87" s="3"/>
      <c r="F87" s="169"/>
      <c r="G87" s="15"/>
      <c r="H87" s="16"/>
    </row>
    <row r="88" spans="2:11" x14ac:dyDescent="0.25">
      <c r="B88" s="93"/>
      <c r="C88" s="14"/>
      <c r="D88" s="14"/>
      <c r="E88" s="3"/>
      <c r="F88" s="14"/>
      <c r="G88" s="15"/>
      <c r="H88" s="15"/>
    </row>
    <row r="89" spans="2:11" x14ac:dyDescent="0.25">
      <c r="B89" s="3"/>
      <c r="C89" s="14"/>
      <c r="D89" s="54"/>
      <c r="E89" s="132"/>
      <c r="F89" s="117"/>
      <c r="G89" s="14"/>
      <c r="H89" s="30"/>
    </row>
    <row r="90" spans="2:11" x14ac:dyDescent="0.25">
      <c r="B90" s="3"/>
      <c r="C90" s="14"/>
      <c r="D90" s="54"/>
      <c r="E90" s="132"/>
      <c r="F90" s="117"/>
      <c r="G90" s="14"/>
      <c r="H90" s="30"/>
    </row>
    <row r="91" spans="2:11" x14ac:dyDescent="0.25">
      <c r="B91" s="93"/>
      <c r="C91" s="14"/>
      <c r="D91" s="14"/>
      <c r="E91" s="3"/>
      <c r="F91" s="169"/>
      <c r="G91" s="15"/>
      <c r="H91" s="16"/>
    </row>
    <row r="92" spans="2:11" x14ac:dyDescent="0.25">
      <c r="B92" s="93"/>
      <c r="C92" s="14"/>
      <c r="D92" s="14"/>
      <c r="E92" s="3"/>
      <c r="F92" s="14"/>
      <c r="G92" s="3"/>
      <c r="H92" s="3"/>
    </row>
    <row r="93" spans="2:11" x14ac:dyDescent="0.25">
      <c r="B93" s="3"/>
      <c r="C93" s="14"/>
      <c r="D93" s="130"/>
      <c r="E93" s="125"/>
      <c r="F93" s="30"/>
      <c r="G93" s="118"/>
      <c r="H93" s="15"/>
    </row>
    <row r="94" spans="2:11" x14ac:dyDescent="0.25">
      <c r="B94" s="3"/>
      <c r="C94" s="14"/>
      <c r="D94" s="130"/>
      <c r="E94" s="132"/>
      <c r="F94" s="30"/>
      <c r="G94" s="14"/>
      <c r="H94" s="15"/>
    </row>
    <row r="95" spans="2:11" x14ac:dyDescent="0.25">
      <c r="B95" s="14"/>
      <c r="C95" s="14"/>
      <c r="D95" s="14"/>
      <c r="E95" s="3"/>
      <c r="F95" s="115"/>
      <c r="G95" s="15"/>
      <c r="H95" s="16"/>
    </row>
    <row r="96" spans="2:11" x14ac:dyDescent="0.25">
      <c r="B96" s="146"/>
      <c r="C96" s="147"/>
      <c r="D96" s="147"/>
      <c r="E96" s="147"/>
      <c r="F96" s="147"/>
      <c r="G96" s="147"/>
      <c r="H96" s="148"/>
    </row>
  </sheetData>
  <mergeCells count="27">
    <mergeCell ref="A1:K1"/>
    <mergeCell ref="B4:F4"/>
    <mergeCell ref="B5:F5"/>
    <mergeCell ref="B6:F6"/>
    <mergeCell ref="N63:O63"/>
    <mergeCell ref="B9:G9"/>
    <mergeCell ref="F48:G48"/>
    <mergeCell ref="F47:G47"/>
    <mergeCell ref="F49:G49"/>
    <mergeCell ref="F50:G50"/>
    <mergeCell ref="F51:G51"/>
    <mergeCell ref="F52:G52"/>
    <mergeCell ref="F53:G53"/>
    <mergeCell ref="F54:G54"/>
    <mergeCell ref="F55:G55"/>
    <mergeCell ref="F56:G56"/>
    <mergeCell ref="B65:G65"/>
    <mergeCell ref="F60:G60"/>
    <mergeCell ref="F61:G61"/>
    <mergeCell ref="Y44:Z44"/>
    <mergeCell ref="R44:U44"/>
    <mergeCell ref="B45:G46"/>
    <mergeCell ref="F57:G57"/>
    <mergeCell ref="F58:G58"/>
    <mergeCell ref="F59:G59"/>
    <mergeCell ref="B64:G64"/>
    <mergeCell ref="B63:G63"/>
  </mergeCells>
  <phoneticPr fontId="18" type="noConversion"/>
  <hyperlinks>
    <hyperlink ref="B63" r:id="rId1" display="https://extension.colostate.edu/wp-content/uploads/2022/01/installing-turbo-fladry-guide-ib.pdf" xr:uid="{64C567E9-57A7-4656-B6E9-4F0433A26B2C}"/>
    <hyperlink ref="B64" r:id="rId2" display="https://extension.colostate.edu/wp-content/uploads/2022/01/FladryManual.pdf" xr:uid="{325E44C7-752C-44F7-9A47-3E753AF72562}"/>
    <hyperlink ref="F48" r:id="rId3" display="https://www.nrdc.org/sites/default/files/installing-turbo-fladry-guide-ib.pdf" xr:uid="{0251F0FC-D23A-480E-9531-211346154F65}"/>
    <hyperlink ref="F53" r:id="rId4" display="https://www.tractorsupply.com/tsc/product/patriot-rod-post-insulator-yellow-820020-1715917?cid=Shopping-Bing-Product1715917-&amp;msclkid=0374fb8053e61bfbb3949c99605e5b87&amp;utm_source=bing&amp;utm_medium=cpc&amp;utm_campaign=Shopping%20-%20All%20Products&amp;utm_term=4585375807245420&amp;utm_content=All%20Products" xr:uid="{2B38B362-2F83-4B85-9DE4-3C974F826120}"/>
    <hyperlink ref="F50" r:id="rId5" display="https://www.homedepot.com/pep/Field-Guardian-6-ft-Complete-Grounding-Kit-900125/204620671?clickid=XpnX4vQl9xyKUVDVFBT%3AjzgRUkCSGM2NU2OyR40&amp;irgwc=1&amp;cm_mmc=afl-ir-2003851-1420157-EdgeBingFlow" xr:uid="{2F263F35-7119-45B5-A53C-5BFBE722DD0E}"/>
    <hyperlink ref="F59" r:id="rId6" display="https://www.tractorsupply.com/tsc/product/rubber-gate-handle" xr:uid="{D05800E0-F7F0-49EA-81CF-E0946BFDA45F}"/>
    <hyperlink ref="F51" r:id="rId7" display="https://www.tractorsupply.com/tsc/product/red-brand-galvanized-electric-fence-wire-17-gauge-1320-ft" xr:uid="{A9C46E90-4739-4C84-B8EC-45CAD3DAEBCF}"/>
    <hyperlink ref="F58" r:id="rId8" display="https://www.amazon.com/WORKPRO-plier/dp/B0BLR6BC46/ref=asc_df_B0BLR6BC46?tag=bingshoppinga-20&amp;linkCode=df0&amp;hvadid=80127097346783&amp;hvnetw=o&amp;hvqmt=e&amp;hvbmt=be&amp;hvdev=c&amp;hvlocint=&amp;hvlocphy=&amp;hvtargid=pla-4583726562194364&amp;psc=1" xr:uid="{5C2EAC11-6275-4B12-98BF-74F5FCDFE85D}"/>
    <hyperlink ref="F57" r:id="rId9" display="https://www.northerntool.com/products/klutch-rubber-head-mallet-2-lb-fiberglass-handle-39932?ogmap=SEM|DSA|BING|STND|c|SITEWIDE||NT%20DSA%20Feed|DSA%20Feed|ALL%20PRODUCTS|361481939|1187473442406094&amp;gclid=ee121acdb20a10c44db17c0e16f54d22&amp;gclsrc=3p.ds&amp;&amp;utm_source=bing_PPC&amp;utm_medium=NT%20DSA%20Feed&amp;utm_campaign=DSA%20Feed&amp;utm_content=ALL%20PRODUCTS&amp;cmpid=361481939&amp;agid=1187473442406094&amp;tgtid=dat-2326016848613034:loc-4085&amp;msclkid=ee121acdb20a10c44db17c0e16f54d22" xr:uid="{D151D13C-FEE8-4B70-B5B5-CD89AAC161F4}"/>
    <hyperlink ref="F52" r:id="rId10" display="https://www.tractorsupply.com/tsc/product/sunguard-3-8-in-fiberglass-rod-post?msockid=2ef92e586294600f2a5b3a83636c61ae" xr:uid="{296D7145-77DE-4D45-8F5C-CC5F8E50B5EE}"/>
    <hyperlink ref="F56" r:id="rId11" display="https://www.tractorsupply.com/tsc/product/countyline-t-post-pounder?msockid=2ef92e586294600f2a5b3a83636c61ae" xr:uid="{EC5304C7-19BF-4AA3-96E0-512BD3EF3897}"/>
    <hyperlink ref="F60" r:id="rId12" display="https://www.amazon.com/EFencSolv-Electric-Fence-Geared-Reel/dp/B0BRVP7W3S?th=1" xr:uid="{A5FCC3BB-D98E-458F-8004-CDC47EEC0F09}"/>
    <hyperlink ref="F55" r:id="rId13" display="https://www.tractorsupply.com/tsc/product/american-farmworks-yellow-screw-on-t-post-insulators?msockid=2ef92e586294600f2a5b3a83636c61ae" xr:uid="{36CC301C-4AB0-4F7E-8646-4B587F2EDBBD}"/>
    <hyperlink ref="F54" r:id="rId14" display="https://www.uline.com/Product/AdvSearchResult?keywords=safety+fence+t+post&amp;SubGroups=1061&amp;view=ALL&amp;pricode=WS190&amp;utm_source=Bing&amp;utm_medium=cpc&amp;utm_term=t%20posts&amp;utm_campaign=Safety%20Products&amp;AdKeyword=t%20posts&amp;AdMatchtype=e&amp;msclkid=c4699d3edbc11c7046b0fbfd43da49cc" xr:uid="{8445C6D8-A865-400C-9FD1-00BC4A6C4683}"/>
    <hyperlink ref="F49" r:id="rId15" display="https://www.premier1supplies.com/c/fencing/electric-fence-energizers" xr:uid="{5B12B384-FF69-4402-9797-B72A536430C5}"/>
    <hyperlink ref="F61" r:id="rId16" display="https://www.premier1supplies.com/p/fence-fault-finder?variant=133500&amp;utm_id=361650029&amp;msclkid=a6622bcf4a1217730c8b4d0cc90cf259&amp;utm_source=bing&amp;utm_medium=cpc&amp;utm_campaign=(ROI)%20Smart%20Shopping%20-%20Fencing&amp;utm_term=2331858004542112&amp;utm_content=Ad%20group" xr:uid="{9CB70C45-73AF-4EC5-A409-86A1BB8DAEB5}"/>
    <hyperlink ref="B65" r:id="rId17" display="https://westernwildlife.org/wp-content/uploads/2015/10/Fact-Sheet-5-Fencing-Fladry-and-Night-penning.pdf" xr:uid="{F26E974F-9DB5-4EA8-A4AF-48C1ECD54ECB}"/>
  </hyperlinks>
  <pageMargins left="0.7" right="0.7" top="0.75" bottom="0.75" header="0.3" footer="0.3"/>
  <pageSetup orientation="portrait" r:id="rId18"/>
  <drawing r:id="rId19"/>
  <extLst>
    <ext xmlns:x14="http://schemas.microsoft.com/office/spreadsheetml/2009/9/main" uri="{CCE6A557-97BC-4b89-ADB6-D9C93CAAB3DF}">
      <x14:dataValidations xmlns:xm="http://schemas.microsoft.com/office/excel/2006/main" count="2">
        <x14:dataValidation type="list" allowBlank="1" showInputMessage="1" showErrorMessage="1" xr:uid="{2643956A-25F1-4307-A4F2-C617B14127AE}">
          <x14:formula1>
            <xm:f>List!$A$2:$A$3</xm:f>
          </x14:formula1>
          <xm:sqref>G5:G6</xm:sqref>
        </x14:dataValidation>
        <x14:dataValidation type="list" allowBlank="1" showInputMessage="1" showErrorMessage="1" xr:uid="{01BE1649-BF1D-4F34-85FF-D808A3060EA3}">
          <x14:formula1>
            <xm:f>List!$B$2:$B$9</xm:f>
          </x14:formula1>
          <xm:sqref>J5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0C980-420B-4CD0-A944-ECCE1390E7DB}">
  <sheetPr>
    <tabColor theme="9" tint="0.59999389629810485"/>
  </sheetPr>
  <dimension ref="A1:AH94"/>
  <sheetViews>
    <sheetView topLeftCell="A7" zoomScale="53" zoomScaleNormal="70" workbookViewId="0">
      <selection activeCell="V28" sqref="V28"/>
    </sheetView>
  </sheetViews>
  <sheetFormatPr defaultColWidth="8.85546875" defaultRowHeight="15" x14ac:dyDescent="0.25"/>
  <cols>
    <col min="1" max="1" width="9.5703125" customWidth="1"/>
    <col min="2" max="2" width="27.28515625" customWidth="1"/>
    <col min="3" max="4" width="9.85546875" customWidth="1"/>
    <col min="5" max="5" width="10" customWidth="1"/>
    <col min="6" max="6" width="10.42578125" customWidth="1"/>
    <col min="8" max="8" width="11.5703125" customWidth="1"/>
    <col min="9" max="9" width="12.140625" customWidth="1"/>
    <col min="10" max="10" width="30.28515625" customWidth="1"/>
    <col min="11" max="11" width="12.5703125" customWidth="1"/>
    <col min="13" max="13" width="12.140625" customWidth="1"/>
    <col min="14" max="14" width="12.85546875" customWidth="1"/>
    <col min="16" max="16" width="11.42578125" customWidth="1"/>
    <col min="17" max="18" width="8.85546875" customWidth="1"/>
    <col min="20" max="20" width="8.85546875" customWidth="1"/>
    <col min="21" max="21" width="8.5703125" customWidth="1"/>
    <col min="22" max="26" width="8.85546875" customWidth="1"/>
    <col min="28" max="30" width="8.85546875" customWidth="1"/>
    <col min="32" max="32" width="8.85546875" customWidth="1"/>
  </cols>
  <sheetData>
    <row r="1" spans="1:33" ht="29.65" customHeight="1" x14ac:dyDescent="0.25">
      <c r="A1" s="372" t="s">
        <v>51</v>
      </c>
      <c r="B1" s="391"/>
      <c r="C1" s="391"/>
      <c r="D1" s="391"/>
      <c r="E1" s="391"/>
      <c r="F1" s="391"/>
      <c r="G1" s="391"/>
      <c r="H1" s="391"/>
      <c r="I1" s="391"/>
      <c r="J1" s="391"/>
      <c r="K1" s="391"/>
      <c r="L1" s="391"/>
      <c r="M1" s="391"/>
      <c r="N1" s="391"/>
      <c r="O1" s="391"/>
      <c r="P1" s="391"/>
      <c r="Q1" s="392"/>
      <c r="R1" s="225"/>
    </row>
    <row r="2" spans="1:33" x14ac:dyDescent="0.25">
      <c r="A2" s="183"/>
      <c r="B2" s="185"/>
      <c r="C2" s="185"/>
      <c r="D2" s="185"/>
      <c r="E2" s="185"/>
      <c r="F2" s="185"/>
      <c r="G2" s="185"/>
      <c r="H2" s="185"/>
      <c r="I2" s="185"/>
      <c r="J2" s="185"/>
      <c r="K2" s="185"/>
      <c r="L2" s="187"/>
      <c r="M2" s="226"/>
      <c r="N2" s="185"/>
      <c r="O2" s="185"/>
      <c r="P2" s="185"/>
      <c r="Q2" s="186"/>
    </row>
    <row r="3" spans="1:33" ht="14.1" customHeight="1" x14ac:dyDescent="0.3">
      <c r="A3" s="183"/>
      <c r="B3" s="184"/>
      <c r="C3" s="185"/>
      <c r="D3" s="185"/>
      <c r="E3" s="185"/>
      <c r="F3" s="185"/>
      <c r="G3" s="185"/>
      <c r="H3" s="185"/>
      <c r="I3" s="185"/>
      <c r="J3" s="185"/>
      <c r="K3" s="185"/>
      <c r="L3" s="187"/>
      <c r="M3" s="226"/>
      <c r="N3" s="185"/>
      <c r="O3" s="185"/>
      <c r="P3" s="185"/>
      <c r="Q3" s="186"/>
    </row>
    <row r="4" spans="1:33" x14ac:dyDescent="0.25">
      <c r="A4" s="183"/>
      <c r="B4" s="226"/>
      <c r="C4" s="226"/>
      <c r="D4" s="226"/>
      <c r="E4" s="226"/>
      <c r="F4" s="226"/>
      <c r="G4" s="200"/>
      <c r="H4" s="185"/>
      <c r="I4" s="185"/>
      <c r="J4" s="185"/>
      <c r="K4" s="185"/>
      <c r="L4" s="187"/>
      <c r="M4" s="185"/>
      <c r="N4" s="185"/>
      <c r="O4" s="185"/>
      <c r="P4" s="185"/>
      <c r="Q4" s="186"/>
    </row>
    <row r="5" spans="1:33" x14ac:dyDescent="0.25">
      <c r="A5" s="183"/>
      <c r="B5" s="226"/>
      <c r="C5" s="226"/>
      <c r="D5" s="226"/>
      <c r="E5" s="226"/>
      <c r="F5" s="226"/>
      <c r="G5" s="200"/>
      <c r="H5" s="185"/>
      <c r="I5" s="185"/>
      <c r="J5" s="185"/>
      <c r="K5" s="185"/>
      <c r="L5" s="187"/>
      <c r="M5" s="185"/>
      <c r="N5" s="185"/>
      <c r="O5" s="185"/>
      <c r="P5" s="185"/>
      <c r="Q5" s="186"/>
    </row>
    <row r="6" spans="1:33" x14ac:dyDescent="0.25">
      <c r="A6" s="183"/>
      <c r="B6" s="226"/>
      <c r="C6" s="226"/>
      <c r="D6" s="226"/>
      <c r="E6" s="226"/>
      <c r="F6" s="226"/>
      <c r="G6" s="200"/>
      <c r="H6" s="185"/>
      <c r="I6" s="185"/>
      <c r="J6" s="185"/>
      <c r="K6" s="185"/>
      <c r="L6" s="187"/>
      <c r="M6" s="185"/>
      <c r="N6" s="185"/>
      <c r="O6" s="185"/>
      <c r="P6" s="185"/>
      <c r="Q6" s="186"/>
    </row>
    <row r="7" spans="1:33" x14ac:dyDescent="0.25">
      <c r="A7" s="183"/>
      <c r="B7" s="185"/>
      <c r="C7" s="185"/>
      <c r="D7" s="185"/>
      <c r="E7" s="185"/>
      <c r="F7" s="185"/>
      <c r="G7" s="185"/>
      <c r="H7" s="185"/>
      <c r="I7" s="185"/>
      <c r="J7" s="185"/>
      <c r="K7" s="185"/>
      <c r="L7" s="187"/>
      <c r="M7" s="185"/>
      <c r="N7" s="185"/>
      <c r="O7" s="185"/>
      <c r="P7" s="185"/>
      <c r="Q7" s="186"/>
    </row>
    <row r="8" spans="1:33" x14ac:dyDescent="0.25">
      <c r="A8" s="183"/>
      <c r="B8" s="215"/>
      <c r="C8" s="185"/>
      <c r="D8" s="215"/>
      <c r="E8" s="185"/>
      <c r="F8" s="185"/>
      <c r="G8" s="185"/>
      <c r="H8" s="185"/>
      <c r="I8" s="185"/>
      <c r="J8" s="185"/>
      <c r="K8" s="185"/>
      <c r="L8" s="187"/>
      <c r="M8" s="185"/>
      <c r="N8" s="185"/>
      <c r="O8" s="185"/>
      <c r="P8" s="185"/>
      <c r="Q8" s="186"/>
    </row>
    <row r="9" spans="1:33" ht="14.1" customHeight="1" x14ac:dyDescent="0.25">
      <c r="A9" s="183"/>
      <c r="B9" s="227"/>
      <c r="C9" s="227"/>
      <c r="D9" s="227"/>
      <c r="E9" s="227"/>
      <c r="F9" s="227"/>
      <c r="G9" s="227"/>
      <c r="H9" s="228"/>
      <c r="I9" s="185"/>
      <c r="J9" s="185"/>
      <c r="K9" s="185"/>
      <c r="L9" s="187"/>
      <c r="M9" s="185"/>
      <c r="N9" s="185"/>
      <c r="O9" s="185"/>
      <c r="P9" s="185"/>
      <c r="Q9" s="186"/>
    </row>
    <row r="10" spans="1:33" ht="14.1" customHeight="1" x14ac:dyDescent="0.25">
      <c r="A10" s="183"/>
      <c r="B10" s="228"/>
      <c r="C10" s="187"/>
      <c r="D10" s="187"/>
      <c r="E10" s="187"/>
      <c r="F10" s="187"/>
      <c r="G10" s="187"/>
      <c r="H10" s="187"/>
      <c r="I10" s="185"/>
      <c r="J10" s="185"/>
      <c r="K10" s="185"/>
      <c r="L10" s="187"/>
      <c r="M10" s="185"/>
      <c r="N10" s="185"/>
      <c r="O10" s="185"/>
      <c r="P10" s="185"/>
      <c r="Q10" s="186"/>
    </row>
    <row r="11" spans="1:33" x14ac:dyDescent="0.25">
      <c r="A11" s="216"/>
      <c r="B11" s="189"/>
      <c r="C11" s="190"/>
      <c r="D11" s="190"/>
      <c r="E11" s="187"/>
      <c r="F11" s="187"/>
      <c r="G11" s="187"/>
      <c r="H11" s="166" t="s">
        <v>170</v>
      </c>
      <c r="I11" s="185"/>
      <c r="J11" s="185"/>
      <c r="K11" s="185"/>
      <c r="L11" s="187"/>
      <c r="M11" s="185"/>
      <c r="N11" s="185"/>
      <c r="O11" s="185"/>
      <c r="P11" s="185"/>
      <c r="Q11" s="186"/>
    </row>
    <row r="12" spans="1:33" x14ac:dyDescent="0.25">
      <c r="A12" s="183"/>
      <c r="B12" s="229"/>
      <c r="C12" s="191"/>
      <c r="D12" s="191"/>
      <c r="E12" s="191"/>
      <c r="F12" s="191"/>
      <c r="G12" s="230"/>
      <c r="H12" s="167">
        <v>0.04</v>
      </c>
      <c r="I12" s="185"/>
      <c r="J12" s="185"/>
      <c r="K12" s="185"/>
      <c r="L12" s="187"/>
      <c r="M12" s="185"/>
      <c r="N12" s="185"/>
      <c r="O12" s="185"/>
      <c r="P12" s="185"/>
      <c r="Q12" s="186"/>
    </row>
    <row r="13" spans="1:33" x14ac:dyDescent="0.25">
      <c r="A13" s="183"/>
      <c r="B13" s="187"/>
      <c r="C13" s="190"/>
      <c r="D13" s="194"/>
      <c r="E13" s="190"/>
      <c r="F13" s="187"/>
      <c r="G13" s="185"/>
      <c r="H13" s="185"/>
      <c r="I13" s="185"/>
      <c r="J13" s="185"/>
      <c r="K13" s="185"/>
      <c r="L13" s="187"/>
      <c r="M13" s="185"/>
      <c r="N13" s="185"/>
      <c r="O13" s="185"/>
      <c r="P13" s="185"/>
      <c r="Q13" s="186"/>
    </row>
    <row r="14" spans="1:33" ht="14.45" customHeight="1" x14ac:dyDescent="0.3">
      <c r="A14" s="272"/>
      <c r="B14" s="187"/>
      <c r="C14" s="190"/>
      <c r="D14" s="194"/>
      <c r="E14" s="190"/>
      <c r="F14" s="194"/>
      <c r="G14" s="200"/>
      <c r="H14" s="185"/>
      <c r="I14" s="231" t="s">
        <v>166</v>
      </c>
      <c r="J14" s="232"/>
      <c r="K14" s="185"/>
      <c r="L14" s="187"/>
      <c r="M14" s="185"/>
      <c r="N14" s="185"/>
      <c r="O14" s="185"/>
      <c r="P14" s="185"/>
      <c r="Q14" s="186"/>
      <c r="AD14" s="1"/>
    </row>
    <row r="15" spans="1:33" x14ac:dyDescent="0.25">
      <c r="A15" s="183"/>
      <c r="B15" s="187"/>
      <c r="C15" s="190"/>
      <c r="D15" s="194"/>
      <c r="E15" s="190"/>
      <c r="F15" s="194"/>
      <c r="G15" s="200"/>
      <c r="H15" s="232"/>
      <c r="I15" s="185"/>
      <c r="J15" s="185"/>
      <c r="K15" s="185"/>
      <c r="L15" s="187"/>
      <c r="M15" s="185"/>
      <c r="N15" s="185"/>
      <c r="O15" s="185"/>
      <c r="P15" s="185"/>
      <c r="Q15" s="186"/>
      <c r="AG15" s="125"/>
    </row>
    <row r="16" spans="1:33" x14ac:dyDescent="0.25">
      <c r="A16" s="183"/>
      <c r="B16" s="214" t="s">
        <v>242</v>
      </c>
      <c r="C16" s="214"/>
      <c r="D16" s="214"/>
      <c r="E16" s="214"/>
      <c r="F16" s="214"/>
      <c r="G16" s="214"/>
      <c r="H16" s="214"/>
      <c r="I16" s="185"/>
      <c r="J16" s="214" t="s">
        <v>243</v>
      </c>
      <c r="K16" s="214"/>
      <c r="L16" s="214"/>
      <c r="M16" s="214"/>
      <c r="N16" s="214"/>
      <c r="O16" s="214"/>
      <c r="P16" s="214"/>
      <c r="Q16" s="186"/>
      <c r="AG16" s="121"/>
    </row>
    <row r="17" spans="1:34" ht="15.75" thickBot="1" x14ac:dyDescent="0.3">
      <c r="A17" s="183"/>
      <c r="B17" s="388" t="s">
        <v>189</v>
      </c>
      <c r="C17" s="389"/>
      <c r="D17" s="389"/>
      <c r="E17" s="390"/>
      <c r="F17" s="270">
        <v>280</v>
      </c>
      <c r="G17" s="185"/>
      <c r="H17" s="271" t="s">
        <v>271</v>
      </c>
      <c r="I17" s="185"/>
      <c r="J17" s="386" t="s">
        <v>191</v>
      </c>
      <c r="K17" s="386"/>
      <c r="L17" s="166">
        <v>250</v>
      </c>
      <c r="M17" s="233" t="s">
        <v>52</v>
      </c>
      <c r="N17" s="234" t="s">
        <v>53</v>
      </c>
      <c r="O17" s="43"/>
      <c r="P17" s="43" t="s">
        <v>271</v>
      </c>
      <c r="Q17" s="186"/>
      <c r="AG17" s="121"/>
      <c r="AH17" s="126"/>
    </row>
    <row r="18" spans="1:34" ht="15.75" thickBot="1" x14ac:dyDescent="0.3">
      <c r="B18" s="387" t="s">
        <v>190</v>
      </c>
      <c r="C18" s="387"/>
      <c r="D18" s="387"/>
      <c r="E18" s="387"/>
      <c r="F18" s="166">
        <v>2</v>
      </c>
      <c r="G18" s="185"/>
      <c r="H18" s="269">
        <f>$F$17</f>
        <v>280</v>
      </c>
      <c r="J18" s="387" t="s">
        <v>269</v>
      </c>
      <c r="K18" s="387"/>
      <c r="L18" s="166">
        <v>25</v>
      </c>
      <c r="M18" s="185"/>
      <c r="N18" s="43">
        <f>$L$17*$L$18</f>
        <v>6250</v>
      </c>
      <c r="O18" s="43"/>
      <c r="P18" s="269">
        <f>2*SQRT(3.1415*N18)</f>
        <v>280.24542815182554</v>
      </c>
      <c r="Q18" s="186"/>
      <c r="AG18" s="121"/>
      <c r="AH18" s="126"/>
    </row>
    <row r="19" spans="1:34" x14ac:dyDescent="0.25">
      <c r="A19" s="183"/>
      <c r="B19" s="185"/>
      <c r="C19" s="185"/>
      <c r="D19" s="185"/>
      <c r="E19" s="185"/>
      <c r="F19" s="185"/>
      <c r="G19" s="185"/>
      <c r="H19" s="185"/>
      <c r="I19" s="185"/>
      <c r="J19" s="387" t="s">
        <v>268</v>
      </c>
      <c r="K19" s="387"/>
      <c r="L19" s="166">
        <v>2</v>
      </c>
      <c r="M19" s="185"/>
      <c r="N19" s="185"/>
      <c r="O19" s="185"/>
      <c r="P19" s="185"/>
      <c r="Q19" s="186"/>
      <c r="AG19" s="121"/>
      <c r="AH19" s="126"/>
    </row>
    <row r="20" spans="1:34" ht="15.75" thickBot="1" x14ac:dyDescent="0.3">
      <c r="A20" s="183"/>
      <c r="B20" s="201"/>
      <c r="C20" s="190"/>
      <c r="D20" s="194"/>
      <c r="E20" s="190"/>
      <c r="F20" s="194"/>
      <c r="G20" s="200"/>
      <c r="H20" s="232"/>
      <c r="I20" s="185"/>
      <c r="J20" s="185"/>
      <c r="K20" s="185"/>
      <c r="L20" s="185"/>
      <c r="M20" s="185"/>
      <c r="N20" s="185"/>
      <c r="O20" s="185"/>
      <c r="P20" s="185"/>
      <c r="Q20" s="186"/>
    </row>
    <row r="21" spans="1:34" ht="35.1" customHeight="1" thickBot="1" x14ac:dyDescent="0.3">
      <c r="A21" s="183"/>
      <c r="B21" s="379" t="str">
        <f>CONCATENATE("Electrified Night Fencing Enterprise Budget - Total Costs for a ",$F$17,"' Perimeter Pen")</f>
        <v>Electrified Night Fencing Enterprise Budget - Total Costs for a 280' Perimeter Pen</v>
      </c>
      <c r="C21" s="380"/>
      <c r="D21" s="380"/>
      <c r="E21" s="380"/>
      <c r="F21" s="380"/>
      <c r="G21" s="380"/>
      <c r="H21" s="27">
        <v>2025</v>
      </c>
      <c r="I21" s="185"/>
      <c r="J21" s="379" t="str">
        <f>CONCATENATE("Electrified Night Fencing Enterprise Budget - Total Costs for a ",L17," Head Flock of Sheep")</f>
        <v>Electrified Night Fencing Enterprise Budget - Total Costs for a 250 Head Flock of Sheep</v>
      </c>
      <c r="K21" s="380"/>
      <c r="L21" s="380"/>
      <c r="M21" s="380"/>
      <c r="N21" s="380"/>
      <c r="O21" s="380"/>
      <c r="P21" s="27">
        <v>2025</v>
      </c>
      <c r="Q21" s="186"/>
    </row>
    <row r="22" spans="1:34" ht="18.75" x14ac:dyDescent="0.25">
      <c r="A22" s="183"/>
      <c r="B22" s="19" t="s">
        <v>7</v>
      </c>
      <c r="C22" s="3"/>
      <c r="D22" s="3"/>
      <c r="E22" s="3"/>
      <c r="F22" s="3"/>
      <c r="G22" s="3"/>
      <c r="H22" s="20"/>
      <c r="I22" s="185"/>
      <c r="J22" s="19" t="s">
        <v>7</v>
      </c>
      <c r="K22" s="3"/>
      <c r="L22" s="3"/>
      <c r="M22" s="3"/>
      <c r="N22" s="3"/>
      <c r="O22" s="3"/>
      <c r="P22" s="20"/>
      <c r="Q22" s="186"/>
    </row>
    <row r="23" spans="1:34" ht="15.75" thickBot="1" x14ac:dyDescent="0.3">
      <c r="A23" s="183"/>
      <c r="B23" s="21" t="s">
        <v>8</v>
      </c>
      <c r="C23" s="22"/>
      <c r="D23" s="22"/>
      <c r="E23" s="23"/>
      <c r="F23" s="23"/>
      <c r="G23" s="23"/>
      <c r="H23" s="24"/>
      <c r="I23" s="185"/>
      <c r="J23" s="21" t="s">
        <v>8</v>
      </c>
      <c r="K23" s="22"/>
      <c r="L23" s="22"/>
      <c r="M23" s="23"/>
      <c r="N23" s="23"/>
      <c r="O23" s="23"/>
      <c r="P23" s="24"/>
      <c r="Q23" s="186"/>
    </row>
    <row r="24" spans="1:34" ht="60.75" thickBot="1" x14ac:dyDescent="0.3">
      <c r="A24" s="183"/>
      <c r="B24" s="50" t="s">
        <v>9</v>
      </c>
      <c r="C24" s="5" t="s">
        <v>10</v>
      </c>
      <c r="D24" s="5" t="s">
        <v>11</v>
      </c>
      <c r="E24" s="51" t="s">
        <v>12</v>
      </c>
      <c r="F24" s="5" t="str">
        <f>CONCATENATE("COST PER ",F17," FEET")</f>
        <v>COST PER 280 FEET</v>
      </c>
      <c r="G24" s="137" t="s">
        <v>13</v>
      </c>
      <c r="H24" s="138" t="s">
        <v>272</v>
      </c>
      <c r="I24" s="235" t="s">
        <v>54</v>
      </c>
      <c r="J24" s="50" t="s">
        <v>9</v>
      </c>
      <c r="K24" s="5" t="s">
        <v>10</v>
      </c>
      <c r="L24" s="5" t="s">
        <v>11</v>
      </c>
      <c r="M24" s="5" t="s">
        <v>12</v>
      </c>
      <c r="N24" s="5" t="str">
        <f>CONCATENATE("PER FENCE FOR ",L17," SHEEP")</f>
        <v>PER FENCE FOR 250 SHEEP</v>
      </c>
      <c r="O24" s="76" t="s">
        <v>13</v>
      </c>
      <c r="P24" s="75" t="s">
        <v>272</v>
      </c>
      <c r="Q24" s="186"/>
    </row>
    <row r="25" spans="1:34" x14ac:dyDescent="0.25">
      <c r="A25" s="183"/>
      <c r="B25" s="35" t="s">
        <v>16</v>
      </c>
      <c r="C25" s="41"/>
      <c r="D25" s="42"/>
      <c r="E25" s="41"/>
      <c r="F25" s="40"/>
      <c r="G25" s="133"/>
      <c r="H25" s="81"/>
      <c r="I25" s="185"/>
      <c r="J25" s="35" t="s">
        <v>16</v>
      </c>
      <c r="K25" s="41"/>
      <c r="L25" s="42"/>
      <c r="M25" s="41"/>
      <c r="N25" s="40"/>
      <c r="O25" s="43"/>
      <c r="P25" s="44"/>
      <c r="Q25" s="186"/>
    </row>
    <row r="26" spans="1:34" x14ac:dyDescent="0.25">
      <c r="A26" s="183"/>
      <c r="B26" s="25" t="s">
        <v>56</v>
      </c>
      <c r="C26" s="14" t="s">
        <v>57</v>
      </c>
      <c r="D26" s="30">
        <v>179.99</v>
      </c>
      <c r="E26" s="14">
        <f>CEILING($F$17/164, 1)</f>
        <v>2</v>
      </c>
      <c r="F26" s="30">
        <f>D26*E26</f>
        <v>359.98</v>
      </c>
      <c r="G26" s="97">
        <v>3</v>
      </c>
      <c r="H26" s="79">
        <f>PMT($H$12,G26,F26)*-1</f>
        <v>129.71826714505383</v>
      </c>
      <c r="I26" s="185"/>
      <c r="J26" s="25" t="s">
        <v>56</v>
      </c>
      <c r="K26" s="14" t="s">
        <v>57</v>
      </c>
      <c r="L26" s="30">
        <v>179.99</v>
      </c>
      <c r="M26" s="14">
        <f>CEILING(P18/164, 1)</f>
        <v>2</v>
      </c>
      <c r="N26" s="30">
        <f>L26*M26</f>
        <v>359.98</v>
      </c>
      <c r="O26" s="145">
        <v>3</v>
      </c>
      <c r="P26" s="79">
        <f>PMT($H$12,O26,N26)*-1</f>
        <v>129.71826714505383</v>
      </c>
      <c r="Q26" s="186"/>
    </row>
    <row r="27" spans="1:34" x14ac:dyDescent="0.25">
      <c r="A27" s="183"/>
      <c r="B27" s="25" t="s">
        <v>58</v>
      </c>
      <c r="C27" s="14" t="s">
        <v>20</v>
      </c>
      <c r="D27" s="30">
        <v>255.99</v>
      </c>
      <c r="E27" s="14">
        <v>1</v>
      </c>
      <c r="F27" s="30">
        <f>D27*E27</f>
        <v>255.99</v>
      </c>
      <c r="G27" s="97">
        <v>5</v>
      </c>
      <c r="H27" s="79">
        <f>PMT($H$12,G27,F27)*-1</f>
        <v>57.502294783081766</v>
      </c>
      <c r="I27" s="185"/>
      <c r="J27" s="25" t="s">
        <v>58</v>
      </c>
      <c r="K27" s="14" t="s">
        <v>20</v>
      </c>
      <c r="L27" s="30">
        <v>255.99</v>
      </c>
      <c r="M27" s="14">
        <v>1</v>
      </c>
      <c r="N27" s="30">
        <f>L27*M27</f>
        <v>255.99</v>
      </c>
      <c r="O27" s="145">
        <v>5</v>
      </c>
      <c r="P27" s="79">
        <f>PMT($H$12,O27,N27)*-1</f>
        <v>57.502294783081766</v>
      </c>
      <c r="Q27" s="186"/>
    </row>
    <row r="28" spans="1:34" x14ac:dyDescent="0.25">
      <c r="A28" s="183"/>
      <c r="B28" s="25" t="s">
        <v>60</v>
      </c>
      <c r="C28" s="14" t="s">
        <v>61</v>
      </c>
      <c r="D28" s="30">
        <v>219.99</v>
      </c>
      <c r="E28" s="14">
        <v>1</v>
      </c>
      <c r="F28" s="30">
        <f>D28*E28</f>
        <v>219.99</v>
      </c>
      <c r="G28" s="97">
        <v>3</v>
      </c>
      <c r="H28" s="79">
        <f>PMT($H$12,G28,F28)*-1</f>
        <v>79.273075140953367</v>
      </c>
      <c r="I28" s="185"/>
      <c r="J28" s="25" t="s">
        <v>60</v>
      </c>
      <c r="K28" s="14" t="s">
        <v>61</v>
      </c>
      <c r="L28" s="30">
        <v>219.99</v>
      </c>
      <c r="M28" s="14">
        <v>1</v>
      </c>
      <c r="N28" s="30">
        <f>L28*M28</f>
        <v>219.99</v>
      </c>
      <c r="O28" s="145">
        <v>3</v>
      </c>
      <c r="P28" s="79">
        <f>PMT($H$12,O28,N28)*-1</f>
        <v>79.273075140953367</v>
      </c>
      <c r="Q28" s="186"/>
    </row>
    <row r="29" spans="1:34" x14ac:dyDescent="0.25">
      <c r="A29" s="183"/>
      <c r="B29" s="25" t="s">
        <v>63</v>
      </c>
      <c r="C29" s="14" t="s">
        <v>64</v>
      </c>
      <c r="D29" s="30">
        <v>139</v>
      </c>
      <c r="E29" s="14">
        <v>1</v>
      </c>
      <c r="F29" s="30">
        <f>D29*E29</f>
        <v>139</v>
      </c>
      <c r="G29" s="97">
        <v>3</v>
      </c>
      <c r="H29" s="79">
        <f>PMT($H$12,G29,F29)*-1</f>
        <v>50.088446950281906</v>
      </c>
      <c r="I29" s="185"/>
      <c r="J29" s="25" t="s">
        <v>63</v>
      </c>
      <c r="K29" s="14" t="s">
        <v>64</v>
      </c>
      <c r="L29" s="30">
        <v>139</v>
      </c>
      <c r="M29" s="14">
        <v>1</v>
      </c>
      <c r="N29" s="30">
        <f>L29*M29</f>
        <v>139</v>
      </c>
      <c r="O29" s="145">
        <v>3</v>
      </c>
      <c r="P29" s="79">
        <f>PMT($H$12,O29,N29)*-1</f>
        <v>50.088446950281906</v>
      </c>
      <c r="Q29" s="186"/>
    </row>
    <row r="30" spans="1:34" ht="15.75" thickBot="1" x14ac:dyDescent="0.3">
      <c r="A30" s="183"/>
      <c r="B30" s="26" t="s">
        <v>39</v>
      </c>
      <c r="C30" s="6"/>
      <c r="D30" s="6"/>
      <c r="E30" s="7"/>
      <c r="F30" s="275">
        <f>SUM(F26:F29)</f>
        <v>974.96</v>
      </c>
      <c r="G30" s="8"/>
      <c r="H30" s="88">
        <f>SUM(H26:H29)</f>
        <v>316.58208401937088</v>
      </c>
      <c r="I30" s="185"/>
      <c r="J30" s="26" t="s">
        <v>39</v>
      </c>
      <c r="K30" s="6"/>
      <c r="L30" s="6"/>
      <c r="M30" s="7"/>
      <c r="N30" s="151">
        <f>SUM(N26:N29)</f>
        <v>974.96</v>
      </c>
      <c r="O30" s="8"/>
      <c r="P30" s="88">
        <f>SUM(P26:P29)</f>
        <v>316.58208401937088</v>
      </c>
      <c r="Q30" s="186"/>
    </row>
    <row r="31" spans="1:34" ht="15.75" thickTop="1" x14ac:dyDescent="0.25">
      <c r="A31" s="183"/>
      <c r="B31" s="36" t="s">
        <v>40</v>
      </c>
      <c r="C31" s="41"/>
      <c r="D31" s="41"/>
      <c r="E31" s="40"/>
      <c r="F31" s="41"/>
      <c r="G31" s="45"/>
      <c r="H31" s="46"/>
      <c r="I31" s="185"/>
      <c r="J31" s="36" t="s">
        <v>40</v>
      </c>
      <c r="K31" s="41"/>
      <c r="L31" s="41"/>
      <c r="M31" s="40"/>
      <c r="N31" s="41"/>
      <c r="O31" s="45"/>
      <c r="P31" s="46"/>
      <c r="Q31" s="186"/>
    </row>
    <row r="32" spans="1:34" x14ac:dyDescent="0.25">
      <c r="A32" s="183"/>
      <c r="B32" s="25" t="s">
        <v>42</v>
      </c>
      <c r="C32" s="14" t="s">
        <v>19</v>
      </c>
      <c r="D32" s="54">
        <v>0.67</v>
      </c>
      <c r="E32" s="14">
        <v>5</v>
      </c>
      <c r="F32" s="54">
        <f>D32*E32</f>
        <v>3.35</v>
      </c>
      <c r="G32" s="14" t="s">
        <v>43</v>
      </c>
      <c r="H32" s="69">
        <f>F32</f>
        <v>3.35</v>
      </c>
      <c r="I32" s="185"/>
      <c r="J32" s="25" t="s">
        <v>42</v>
      </c>
      <c r="K32" s="14" t="s">
        <v>19</v>
      </c>
      <c r="L32" s="54">
        <v>0.67</v>
      </c>
      <c r="M32" s="14">
        <v>5</v>
      </c>
      <c r="N32" s="54">
        <f>L32*M32</f>
        <v>3.35</v>
      </c>
      <c r="O32" s="14" t="s">
        <v>43</v>
      </c>
      <c r="P32" s="69">
        <f>N32</f>
        <v>3.35</v>
      </c>
      <c r="Q32" s="186"/>
    </row>
    <row r="33" spans="1:25" ht="15.75" thickBot="1" x14ac:dyDescent="0.3">
      <c r="A33" s="183"/>
      <c r="B33" s="26" t="s">
        <v>45</v>
      </c>
      <c r="C33" s="6"/>
      <c r="D33" s="6"/>
      <c r="E33" s="7"/>
      <c r="F33" s="151">
        <f>SUM(F32:F32)</f>
        <v>3.35</v>
      </c>
      <c r="G33" s="8"/>
      <c r="H33" s="88">
        <f>SUM(H32:H32)</f>
        <v>3.35</v>
      </c>
      <c r="I33" s="185"/>
      <c r="J33" s="26" t="s">
        <v>45</v>
      </c>
      <c r="K33" s="6"/>
      <c r="L33" s="6"/>
      <c r="M33" s="7"/>
      <c r="N33" s="275">
        <f>SUM(N32:N32)</f>
        <v>3.35</v>
      </c>
      <c r="O33" s="8"/>
      <c r="P33" s="88">
        <f>SUM(P32:P32)</f>
        <v>3.35</v>
      </c>
      <c r="Q33" s="186"/>
    </row>
    <row r="34" spans="1:25" ht="15.75" thickTop="1" x14ac:dyDescent="0.25">
      <c r="A34" s="183"/>
      <c r="B34" s="36" t="s">
        <v>46</v>
      </c>
      <c r="C34" s="41"/>
      <c r="D34" s="41"/>
      <c r="E34" s="40"/>
      <c r="F34" s="41"/>
      <c r="G34" s="40"/>
      <c r="H34" s="47"/>
      <c r="I34" s="185"/>
      <c r="J34" s="36" t="s">
        <v>46</v>
      </c>
      <c r="K34" s="41"/>
      <c r="L34" s="41"/>
      <c r="M34" s="40"/>
      <c r="N34" s="41"/>
      <c r="O34" s="40"/>
      <c r="P34" s="47"/>
      <c r="Q34" s="186"/>
    </row>
    <row r="35" spans="1:25" x14ac:dyDescent="0.25">
      <c r="A35" s="183"/>
      <c r="B35" s="25" t="s">
        <v>47</v>
      </c>
      <c r="C35" s="14" t="s">
        <v>48</v>
      </c>
      <c r="D35" s="77">
        <v>20</v>
      </c>
      <c r="E35" s="97">
        <v>1</v>
      </c>
      <c r="F35" s="30">
        <f>D35*E35</f>
        <v>20</v>
      </c>
      <c r="G35" s="118" t="s">
        <v>43</v>
      </c>
      <c r="H35" s="48">
        <f>F35</f>
        <v>20</v>
      </c>
      <c r="I35" s="185"/>
      <c r="J35" s="25" t="s">
        <v>47</v>
      </c>
      <c r="K35" s="14" t="s">
        <v>48</v>
      </c>
      <c r="L35" s="77">
        <v>20</v>
      </c>
      <c r="M35" s="145">
        <v>1</v>
      </c>
      <c r="N35" s="30">
        <f>L35*M35</f>
        <v>20</v>
      </c>
      <c r="O35" s="118" t="s">
        <v>43</v>
      </c>
      <c r="P35" s="48">
        <f>N35</f>
        <v>20</v>
      </c>
      <c r="Q35" s="186"/>
    </row>
    <row r="36" spans="1:25" x14ac:dyDescent="0.25">
      <c r="A36" s="183"/>
      <c r="B36" s="25" t="s">
        <v>49</v>
      </c>
      <c r="C36" s="14" t="s">
        <v>48</v>
      </c>
      <c r="D36" s="77">
        <v>20</v>
      </c>
      <c r="E36" s="278">
        <f>($F$18*4)</f>
        <v>8</v>
      </c>
      <c r="F36" s="30">
        <f>D36*E36</f>
        <v>160</v>
      </c>
      <c r="G36" s="135" t="s">
        <v>43</v>
      </c>
      <c r="H36" s="136">
        <f>F36</f>
        <v>160</v>
      </c>
      <c r="I36" s="185"/>
      <c r="J36" s="25" t="s">
        <v>49</v>
      </c>
      <c r="K36" s="14" t="s">
        <v>48</v>
      </c>
      <c r="L36" s="77">
        <v>20</v>
      </c>
      <c r="M36" s="278">
        <v>8</v>
      </c>
      <c r="N36" s="30">
        <f>L36*M36</f>
        <v>160</v>
      </c>
      <c r="O36" s="135" t="s">
        <v>43</v>
      </c>
      <c r="P36" s="136">
        <f>N36</f>
        <v>160</v>
      </c>
      <c r="Q36" s="186"/>
      <c r="R36" s="146"/>
      <c r="S36" s="147"/>
      <c r="T36" s="147"/>
      <c r="U36" s="147"/>
      <c r="V36" s="147"/>
      <c r="W36" s="147"/>
      <c r="X36" s="148"/>
    </row>
    <row r="37" spans="1:25" x14ac:dyDescent="0.25">
      <c r="A37" s="183"/>
      <c r="B37" s="49" t="s">
        <v>65</v>
      </c>
      <c r="C37" s="141" t="s">
        <v>48</v>
      </c>
      <c r="D37" s="78">
        <v>20</v>
      </c>
      <c r="E37" s="141">
        <v>6</v>
      </c>
      <c r="F37" s="142">
        <f>D37*E37</f>
        <v>120</v>
      </c>
      <c r="G37" s="149" t="s">
        <v>43</v>
      </c>
      <c r="H37" s="143">
        <f>F37</f>
        <v>120</v>
      </c>
      <c r="I37" s="185"/>
      <c r="J37" s="49" t="s">
        <v>65</v>
      </c>
      <c r="K37" s="141" t="s">
        <v>48</v>
      </c>
      <c r="L37" s="78">
        <v>20</v>
      </c>
      <c r="M37" s="141">
        <v>6</v>
      </c>
      <c r="N37" s="153">
        <f>L37*M37</f>
        <v>120</v>
      </c>
      <c r="O37" s="141" t="s">
        <v>43</v>
      </c>
      <c r="P37" s="143">
        <f>N37</f>
        <v>120</v>
      </c>
      <c r="Q37" s="186"/>
      <c r="R37" s="146"/>
      <c r="S37" s="147"/>
      <c r="T37" s="147"/>
      <c r="U37" s="147"/>
      <c r="V37" s="147"/>
      <c r="W37" s="147"/>
      <c r="X37" s="148"/>
    </row>
    <row r="38" spans="1:25" ht="15.75" thickBot="1" x14ac:dyDescent="0.3">
      <c r="A38" s="183"/>
      <c r="B38" s="67" t="s">
        <v>50</v>
      </c>
      <c r="C38" s="59"/>
      <c r="D38" s="59"/>
      <c r="E38" s="60"/>
      <c r="F38" s="276">
        <f>SUM(F35:F37)</f>
        <v>300</v>
      </c>
      <c r="G38" s="61"/>
      <c r="H38" s="277">
        <f>SUM(H35:H37)</f>
        <v>300</v>
      </c>
      <c r="I38" s="185"/>
      <c r="J38" s="67" t="s">
        <v>50</v>
      </c>
      <c r="K38" s="59"/>
      <c r="L38" s="59"/>
      <c r="M38" s="60"/>
      <c r="N38" s="62">
        <f>SUM(N35:N37)</f>
        <v>300</v>
      </c>
      <c r="O38" s="61"/>
      <c r="P38" s="277">
        <f>SUM(P35:P37)</f>
        <v>300</v>
      </c>
      <c r="Q38" s="186"/>
      <c r="R38" s="146"/>
      <c r="S38" s="147"/>
      <c r="T38" s="147"/>
      <c r="U38" s="147"/>
      <c r="V38" s="147"/>
      <c r="W38" s="147"/>
      <c r="X38" s="148"/>
    </row>
    <row r="39" spans="1:25" ht="16.5" thickTop="1" thickBot="1" x14ac:dyDescent="0.3">
      <c r="A39" s="183"/>
      <c r="B39" s="139" t="str">
        <f>CONCATENATE("Total Annualized Costs for a ",$F$17,"' Perimeter Fence")</f>
        <v>Total Annualized Costs for a 280' Perimeter Fence</v>
      </c>
      <c r="C39" s="140"/>
      <c r="D39" s="140"/>
      <c r="E39" s="140"/>
      <c r="F39" s="140"/>
      <c r="G39" s="140"/>
      <c r="H39" s="274">
        <f>SUM(H30,H33,H38)</f>
        <v>619.9320840193709</v>
      </c>
      <c r="I39" s="185"/>
      <c r="J39" s="89" t="str">
        <f>CONCATENATE("Total Annualized Costs of Fencing for a ",L17," Head Flock of Sheep")</f>
        <v>Total Annualized Costs of Fencing for a 250 Head Flock of Sheep</v>
      </c>
      <c r="K39" s="70"/>
      <c r="L39" s="70"/>
      <c r="M39" s="70"/>
      <c r="N39" s="70"/>
      <c r="O39" s="70"/>
      <c r="P39" s="274">
        <f>SUM(P30,P33,P38)</f>
        <v>619.9320840193709</v>
      </c>
      <c r="Q39" s="186"/>
    </row>
    <row r="40" spans="1:25" x14ac:dyDescent="0.25">
      <c r="A40" s="183"/>
      <c r="B40" s="185"/>
      <c r="C40" s="185"/>
      <c r="D40" s="185"/>
      <c r="E40" s="185"/>
      <c r="F40" s="185"/>
      <c r="G40" s="185"/>
      <c r="H40" s="185"/>
      <c r="I40" s="185"/>
      <c r="J40" s="185"/>
      <c r="K40" s="185"/>
      <c r="L40" s="187"/>
      <c r="M40" s="185"/>
      <c r="N40" s="185"/>
      <c r="O40" s="185"/>
      <c r="P40" s="185"/>
      <c r="Q40" s="186"/>
    </row>
    <row r="41" spans="1:25" x14ac:dyDescent="0.25">
      <c r="A41" s="183"/>
      <c r="B41" s="185"/>
      <c r="C41" s="185"/>
      <c r="D41" s="185"/>
      <c r="E41" s="185"/>
      <c r="F41" s="185"/>
      <c r="G41" s="185"/>
      <c r="H41" s="185"/>
      <c r="I41" s="185"/>
      <c r="J41" s="185"/>
      <c r="K41" s="185"/>
      <c r="L41" s="187"/>
      <c r="M41" s="185"/>
      <c r="N41" s="185"/>
      <c r="O41" s="185"/>
      <c r="P41" s="185"/>
      <c r="Q41" s="186"/>
    </row>
    <row r="42" spans="1:25" ht="15.75" thickBot="1" x14ac:dyDescent="0.3">
      <c r="A42" s="207"/>
      <c r="B42" s="208"/>
      <c r="C42" s="208"/>
      <c r="D42" s="208"/>
      <c r="E42" s="208"/>
      <c r="F42" s="208"/>
      <c r="G42" s="208"/>
      <c r="H42" s="208"/>
      <c r="I42" s="208"/>
      <c r="J42" s="208"/>
      <c r="K42" s="208"/>
      <c r="L42" s="211"/>
      <c r="M42" s="208"/>
      <c r="N42" s="208"/>
      <c r="O42" s="208"/>
      <c r="P42" s="208"/>
      <c r="Q42" s="213"/>
    </row>
    <row r="43" spans="1:25" x14ac:dyDescent="0.25">
      <c r="A43" s="1"/>
      <c r="L43" s="3"/>
    </row>
    <row r="44" spans="1:25" ht="15.75" thickBot="1" x14ac:dyDescent="0.3">
      <c r="L44" s="3"/>
    </row>
    <row r="45" spans="1:25" ht="15.95" customHeight="1" x14ac:dyDescent="0.25">
      <c r="B45" s="360" t="s">
        <v>214</v>
      </c>
      <c r="C45" s="393"/>
      <c r="D45" s="393"/>
      <c r="E45" s="393"/>
      <c r="F45" s="393"/>
      <c r="G45" s="394"/>
      <c r="L45" s="3"/>
      <c r="Y45" s="3"/>
    </row>
    <row r="46" spans="1:25" ht="14.65" customHeight="1" x14ac:dyDescent="0.25">
      <c r="B46" s="395"/>
      <c r="C46" s="396"/>
      <c r="D46" s="396"/>
      <c r="E46" s="396"/>
      <c r="F46" s="396"/>
      <c r="G46" s="397"/>
      <c r="J46" s="145"/>
      <c r="K46" s="145"/>
      <c r="L46" s="3"/>
      <c r="Y46" s="16"/>
    </row>
    <row r="47" spans="1:25" x14ac:dyDescent="0.25">
      <c r="B47" s="221" t="s">
        <v>0</v>
      </c>
      <c r="C47" s="220" t="s">
        <v>1</v>
      </c>
      <c r="D47" s="220" t="s">
        <v>2</v>
      </c>
      <c r="E47" s="220" t="s">
        <v>3</v>
      </c>
      <c r="F47" s="383" t="s">
        <v>4</v>
      </c>
      <c r="G47" s="384"/>
      <c r="J47" s="125"/>
      <c r="K47" s="128"/>
      <c r="L47" s="3"/>
    </row>
    <row r="48" spans="1:25" x14ac:dyDescent="0.25">
      <c r="A48" s="3"/>
      <c r="B48" s="33" t="s">
        <v>55</v>
      </c>
      <c r="C48" s="34">
        <v>179.99</v>
      </c>
      <c r="D48">
        <v>5</v>
      </c>
      <c r="E48" s="34">
        <f>C48*D48</f>
        <v>899.95</v>
      </c>
      <c r="F48" s="381" t="s">
        <v>219</v>
      </c>
      <c r="G48" s="382"/>
      <c r="J48" s="125"/>
      <c r="K48" s="128"/>
      <c r="L48" s="3"/>
    </row>
    <row r="49" spans="1:17" ht="14.65" customHeight="1" x14ac:dyDescent="0.25">
      <c r="A49" s="3"/>
      <c r="B49" s="33" t="s">
        <v>58</v>
      </c>
      <c r="C49" s="31">
        <v>255.99</v>
      </c>
      <c r="D49">
        <v>1</v>
      </c>
      <c r="E49" s="34">
        <f>C49*D49</f>
        <v>255.99</v>
      </c>
      <c r="F49" s="357" t="s">
        <v>220</v>
      </c>
      <c r="G49" s="358"/>
      <c r="H49" s="57"/>
      <c r="I49" s="57"/>
      <c r="J49" s="125"/>
      <c r="K49" s="128"/>
      <c r="L49" s="3"/>
      <c r="M49" s="57"/>
      <c r="N49" s="57"/>
      <c r="O49" s="57"/>
      <c r="P49" s="56"/>
    </row>
    <row r="50" spans="1:17" x14ac:dyDescent="0.25">
      <c r="A50" s="3"/>
      <c r="B50" s="33" t="s">
        <v>59</v>
      </c>
      <c r="C50" s="31">
        <v>219.99</v>
      </c>
      <c r="D50">
        <v>1</v>
      </c>
      <c r="E50">
        <v>219.99</v>
      </c>
      <c r="F50" s="357" t="s">
        <v>219</v>
      </c>
      <c r="G50" s="358"/>
      <c r="J50" s="125"/>
      <c r="K50" s="128"/>
    </row>
    <row r="51" spans="1:17" x14ac:dyDescent="0.25">
      <c r="A51" s="3"/>
      <c r="B51" s="33" t="s">
        <v>62</v>
      </c>
      <c r="C51" s="31">
        <v>139.99</v>
      </c>
      <c r="D51">
        <v>1</v>
      </c>
      <c r="E51">
        <v>139.99</v>
      </c>
      <c r="F51" s="357" t="s">
        <v>219</v>
      </c>
      <c r="G51" s="358"/>
      <c r="J51" s="125"/>
      <c r="K51" s="128"/>
    </row>
    <row r="52" spans="1:17" x14ac:dyDescent="0.25">
      <c r="A52" s="3"/>
      <c r="B52" s="259" t="s">
        <v>165</v>
      </c>
      <c r="C52" s="223"/>
      <c r="D52" s="260"/>
      <c r="E52" s="261"/>
      <c r="F52" s="223"/>
      <c r="G52" s="224"/>
      <c r="J52" s="125"/>
      <c r="K52" s="128"/>
    </row>
    <row r="53" spans="1:17" x14ac:dyDescent="0.25">
      <c r="A53" s="3"/>
      <c r="B53" s="369" t="s">
        <v>221</v>
      </c>
      <c r="C53" s="398"/>
      <c r="D53" s="398"/>
      <c r="E53" s="398"/>
      <c r="F53" s="398"/>
      <c r="G53" s="399"/>
    </row>
    <row r="54" spans="1:17" x14ac:dyDescent="0.25">
      <c r="A54" s="3"/>
      <c r="B54" s="400" t="s">
        <v>279</v>
      </c>
      <c r="C54" s="401"/>
      <c r="D54" s="401"/>
      <c r="E54" s="401"/>
      <c r="F54" s="401"/>
      <c r="G54" s="402"/>
    </row>
    <row r="55" spans="1:17" ht="15.75" thickBot="1" x14ac:dyDescent="0.3">
      <c r="A55" s="3"/>
      <c r="B55" s="354" t="s">
        <v>244</v>
      </c>
      <c r="C55" s="355"/>
      <c r="D55" s="355"/>
      <c r="E55" s="355"/>
      <c r="F55" s="355"/>
      <c r="G55" s="356"/>
      <c r="L55" s="3"/>
    </row>
    <row r="56" spans="1:17" x14ac:dyDescent="0.25">
      <c r="A56" s="3"/>
      <c r="B56" s="32"/>
      <c r="D56" s="32"/>
      <c r="E56" s="1"/>
      <c r="L56" s="3"/>
      <c r="Q56" s="3"/>
    </row>
    <row r="57" spans="1:17" x14ac:dyDescent="0.25">
      <c r="A57" s="3"/>
      <c r="B57" s="32"/>
      <c r="D57" s="32"/>
      <c r="E57" s="1"/>
      <c r="L57" s="3"/>
      <c r="Q57" s="3"/>
    </row>
    <row r="58" spans="1:17" x14ac:dyDescent="0.25">
      <c r="A58" s="3"/>
      <c r="B58" s="32"/>
      <c r="D58" s="32"/>
      <c r="E58" s="1"/>
      <c r="L58" s="3"/>
      <c r="Q58" s="3"/>
    </row>
    <row r="59" spans="1:17" x14ac:dyDescent="0.25">
      <c r="A59" s="3"/>
      <c r="B59" s="32"/>
      <c r="D59" s="32"/>
      <c r="E59" s="1"/>
      <c r="L59" s="3"/>
      <c r="M59" s="3"/>
      <c r="N59" s="3"/>
      <c r="O59" s="3"/>
      <c r="P59" s="3"/>
      <c r="Q59" s="3"/>
    </row>
    <row r="60" spans="1:17" x14ac:dyDescent="0.25">
      <c r="A60" s="3"/>
      <c r="B60" s="32"/>
      <c r="D60" s="32"/>
      <c r="E60" s="1"/>
      <c r="L60" s="3"/>
      <c r="N60" s="17"/>
      <c r="O60" s="3"/>
      <c r="P60" s="3"/>
      <c r="Q60" s="3"/>
    </row>
    <row r="61" spans="1:17" x14ac:dyDescent="0.25">
      <c r="A61" s="3"/>
      <c r="B61" s="32"/>
      <c r="D61" s="32"/>
      <c r="E61" s="1"/>
      <c r="L61" s="3"/>
      <c r="M61" s="3"/>
      <c r="N61" s="9"/>
      <c r="O61" s="9"/>
      <c r="P61" s="9"/>
      <c r="Q61" s="9"/>
    </row>
    <row r="62" spans="1:17" x14ac:dyDescent="0.25">
      <c r="A62" s="3"/>
      <c r="B62" s="32"/>
      <c r="D62" s="32"/>
      <c r="E62" s="1"/>
      <c r="L62" s="3"/>
      <c r="M62" s="3"/>
      <c r="N62" s="9"/>
      <c r="O62" s="9"/>
      <c r="P62" s="10"/>
      <c r="Q62" s="10"/>
    </row>
    <row r="63" spans="1:17" x14ac:dyDescent="0.25">
      <c r="L63" s="3"/>
      <c r="M63" s="3"/>
      <c r="N63" s="378"/>
      <c r="O63" s="378"/>
      <c r="P63" s="11"/>
      <c r="Q63" s="11"/>
    </row>
    <row r="64" spans="1:17" x14ac:dyDescent="0.25">
      <c r="A64" s="1"/>
      <c r="L64" s="3"/>
      <c r="M64" s="3"/>
      <c r="N64" s="12"/>
      <c r="O64" s="9"/>
      <c r="P64" s="11"/>
      <c r="Q64" s="11"/>
    </row>
    <row r="65" spans="1:24" x14ac:dyDescent="0.25">
      <c r="A65" s="1"/>
      <c r="L65" s="3"/>
      <c r="M65" s="3"/>
      <c r="N65" s="12"/>
      <c r="O65" s="9"/>
      <c r="P65" s="11"/>
      <c r="Q65" s="11"/>
    </row>
    <row r="66" spans="1:24" x14ac:dyDescent="0.25">
      <c r="A66" s="1"/>
      <c r="H66" s="2"/>
      <c r="I66" s="2"/>
      <c r="J66" s="2"/>
      <c r="K66" s="2"/>
      <c r="L66" s="2"/>
      <c r="M66" s="3"/>
      <c r="N66" s="13"/>
      <c r="O66" s="9"/>
      <c r="P66" s="11"/>
      <c r="Q66" s="11"/>
    </row>
    <row r="67" spans="1:24" x14ac:dyDescent="0.25">
      <c r="M67" s="3"/>
      <c r="N67" s="12"/>
      <c r="O67" s="9"/>
      <c r="P67" s="18"/>
      <c r="Q67" s="11"/>
    </row>
    <row r="68" spans="1:24" x14ac:dyDescent="0.25">
      <c r="M68" s="3"/>
      <c r="N68" s="12"/>
      <c r="O68" s="9"/>
      <c r="P68" s="11"/>
      <c r="Q68" s="11"/>
    </row>
    <row r="70" spans="1:24" ht="14.65" customHeight="1" x14ac:dyDescent="0.25">
      <c r="R70" s="385"/>
      <c r="S70" s="385"/>
      <c r="T70" s="385"/>
      <c r="U70" s="385"/>
      <c r="V70" s="385"/>
      <c r="W70" s="385"/>
      <c r="X70" s="90"/>
    </row>
    <row r="71" spans="1:24" ht="18.75" x14ac:dyDescent="0.25">
      <c r="R71" s="90"/>
      <c r="S71" s="3"/>
      <c r="T71" s="3"/>
      <c r="U71" s="3"/>
      <c r="V71" s="3"/>
      <c r="W71" s="3"/>
      <c r="X71" s="3"/>
    </row>
    <row r="72" spans="1:24" x14ac:dyDescent="0.25">
      <c r="R72" s="17"/>
      <c r="S72" s="14"/>
      <c r="T72" s="14"/>
      <c r="U72" s="3"/>
      <c r="V72" s="3"/>
      <c r="W72" s="3"/>
      <c r="X72" s="3"/>
    </row>
    <row r="73" spans="1:24" x14ac:dyDescent="0.25">
      <c r="R73" s="105"/>
      <c r="S73" s="91"/>
      <c r="T73" s="91"/>
      <c r="U73" s="106"/>
      <c r="V73" s="106"/>
      <c r="W73" s="107"/>
      <c r="X73" s="107"/>
    </row>
    <row r="74" spans="1:24" x14ac:dyDescent="0.25">
      <c r="R74" s="3"/>
      <c r="S74" s="14"/>
      <c r="T74" s="30"/>
      <c r="U74" s="14"/>
      <c r="V74" s="3"/>
    </row>
    <row r="75" spans="1:24" x14ac:dyDescent="0.25">
      <c r="D75" s="1"/>
      <c r="R75" s="3"/>
      <c r="S75" s="14"/>
      <c r="T75" s="30"/>
      <c r="U75" s="14"/>
      <c r="V75" s="30"/>
      <c r="W75" s="145"/>
      <c r="X75" s="104"/>
    </row>
    <row r="76" spans="1:24" x14ac:dyDescent="0.25">
      <c r="R76" s="3"/>
      <c r="S76" s="14"/>
      <c r="T76" s="30"/>
      <c r="U76" s="14"/>
      <c r="V76" s="30"/>
      <c r="W76" s="145"/>
      <c r="X76" s="104"/>
    </row>
    <row r="77" spans="1:24" x14ac:dyDescent="0.25">
      <c r="R77" s="3"/>
      <c r="S77" s="14"/>
      <c r="T77" s="30"/>
      <c r="U77" s="14"/>
      <c r="V77" s="30"/>
      <c r="W77" s="145"/>
      <c r="X77" s="104"/>
    </row>
    <row r="78" spans="1:24" x14ac:dyDescent="0.25">
      <c r="H78" s="57"/>
      <c r="I78" s="57"/>
      <c r="J78" s="57"/>
      <c r="K78" s="56"/>
      <c r="R78" s="3"/>
      <c r="S78" s="14"/>
      <c r="T78" s="30"/>
      <c r="U78" s="14"/>
      <c r="V78" s="30"/>
      <c r="W78" s="145"/>
      <c r="X78" s="104"/>
    </row>
    <row r="79" spans="1:24" x14ac:dyDescent="0.25">
      <c r="R79" s="3"/>
      <c r="S79" s="14"/>
      <c r="T79" s="30"/>
      <c r="U79" s="14"/>
      <c r="V79" s="30"/>
      <c r="W79" s="145"/>
      <c r="X79" s="104"/>
    </row>
    <row r="80" spans="1:24" x14ac:dyDescent="0.25">
      <c r="K80" s="120"/>
      <c r="S80" s="14"/>
      <c r="T80" s="104"/>
      <c r="U80" s="14"/>
      <c r="V80" s="30"/>
      <c r="W80" s="145"/>
      <c r="X80" s="104"/>
    </row>
    <row r="81" spans="18:24" x14ac:dyDescent="0.25">
      <c r="R81" s="94"/>
      <c r="S81" s="14"/>
      <c r="T81" s="30"/>
      <c r="U81" s="14"/>
      <c r="V81" s="30"/>
      <c r="W81" s="145"/>
      <c r="X81" s="104"/>
    </row>
    <row r="82" spans="18:24" x14ac:dyDescent="0.25">
      <c r="R82" s="3"/>
      <c r="S82" s="14"/>
      <c r="T82" s="30"/>
      <c r="U82" s="14"/>
      <c r="V82" s="30"/>
      <c r="W82" s="145"/>
      <c r="X82" s="104"/>
    </row>
    <row r="83" spans="18:24" x14ac:dyDescent="0.25">
      <c r="R83" s="3"/>
      <c r="S83" s="14"/>
      <c r="T83" s="30"/>
      <c r="U83" s="14"/>
      <c r="V83" s="30"/>
      <c r="W83" s="145"/>
      <c r="X83" s="104"/>
    </row>
    <row r="84" spans="18:24" x14ac:dyDescent="0.25">
      <c r="R84" s="3"/>
      <c r="S84" s="14"/>
      <c r="T84" s="104"/>
      <c r="U84" s="145"/>
      <c r="V84" s="30"/>
      <c r="W84" s="145"/>
      <c r="X84" s="104"/>
    </row>
    <row r="85" spans="18:24" x14ac:dyDescent="0.25">
      <c r="R85" s="93"/>
      <c r="S85" s="14"/>
      <c r="T85" s="14"/>
      <c r="U85" s="3"/>
      <c r="V85" s="169"/>
      <c r="W85" s="15"/>
      <c r="X85" s="16"/>
    </row>
    <row r="86" spans="18:24" x14ac:dyDescent="0.25">
      <c r="R86" s="93"/>
      <c r="S86" s="14"/>
      <c r="T86" s="14"/>
      <c r="U86" s="3"/>
      <c r="V86" s="14"/>
      <c r="W86" s="15"/>
      <c r="X86" s="15"/>
    </row>
    <row r="87" spans="18:24" x14ac:dyDescent="0.25">
      <c r="R87" s="3"/>
      <c r="S87" s="14"/>
      <c r="T87" s="54"/>
      <c r="U87" s="132"/>
      <c r="V87" s="117"/>
      <c r="W87" s="14"/>
      <c r="X87" s="30"/>
    </row>
    <row r="88" spans="18:24" x14ac:dyDescent="0.25">
      <c r="R88" s="3"/>
      <c r="S88" s="14"/>
      <c r="T88" s="54"/>
      <c r="U88" s="132"/>
      <c r="V88" s="117"/>
      <c r="W88" s="14"/>
      <c r="X88" s="30"/>
    </row>
    <row r="89" spans="18:24" x14ac:dyDescent="0.25">
      <c r="R89" s="93"/>
      <c r="S89" s="14"/>
      <c r="T89" s="14"/>
      <c r="U89" s="3"/>
      <c r="V89" s="169"/>
      <c r="W89" s="15"/>
      <c r="X89" s="16"/>
    </row>
    <row r="90" spans="18:24" x14ac:dyDescent="0.25">
      <c r="R90" s="93"/>
      <c r="S90" s="14"/>
      <c r="T90" s="14"/>
      <c r="U90" s="3"/>
      <c r="V90" s="14"/>
      <c r="W90" s="3"/>
      <c r="X90" s="3"/>
    </row>
    <row r="91" spans="18:24" x14ac:dyDescent="0.25">
      <c r="R91" s="3"/>
      <c r="S91" s="14"/>
      <c r="T91" s="130"/>
      <c r="U91" s="125"/>
      <c r="V91" s="30"/>
      <c r="W91" s="118"/>
      <c r="X91" s="15"/>
    </row>
    <row r="92" spans="18:24" x14ac:dyDescent="0.25">
      <c r="R92" s="3"/>
      <c r="S92" s="14"/>
      <c r="T92" s="130"/>
      <c r="U92" s="132"/>
      <c r="V92" s="30"/>
      <c r="W92" s="14"/>
      <c r="X92" s="15"/>
    </row>
    <row r="93" spans="18:24" x14ac:dyDescent="0.25">
      <c r="R93" s="14"/>
      <c r="S93" s="14"/>
      <c r="T93" s="14"/>
      <c r="U93" s="3"/>
      <c r="V93" s="115"/>
      <c r="W93" s="15"/>
      <c r="X93" s="16"/>
    </row>
    <row r="94" spans="18:24" x14ac:dyDescent="0.25">
      <c r="R94" s="146"/>
      <c r="S94" s="147"/>
      <c r="T94" s="147"/>
      <c r="U94" s="147"/>
      <c r="V94" s="147"/>
      <c r="W94" s="147"/>
      <c r="X94" s="148"/>
    </row>
  </sheetData>
  <mergeCells count="19">
    <mergeCell ref="A1:Q1"/>
    <mergeCell ref="B45:G46"/>
    <mergeCell ref="F51:G51"/>
    <mergeCell ref="B53:G53"/>
    <mergeCell ref="B54:G54"/>
    <mergeCell ref="R70:W70"/>
    <mergeCell ref="J17:K17"/>
    <mergeCell ref="J19:K19"/>
    <mergeCell ref="B18:E18"/>
    <mergeCell ref="B21:G21"/>
    <mergeCell ref="J21:O21"/>
    <mergeCell ref="N63:O63"/>
    <mergeCell ref="F47:G47"/>
    <mergeCell ref="F48:G48"/>
    <mergeCell ref="F49:G49"/>
    <mergeCell ref="F50:G50"/>
    <mergeCell ref="B55:G55"/>
    <mergeCell ref="J18:K18"/>
    <mergeCell ref="B17:E17"/>
  </mergeCells>
  <hyperlinks>
    <hyperlink ref="F48" r:id="rId1" display="https://www.tractorsupply.com/tsc/product/starkline-electric-positive-negative-netting-48-in-x-164-ft-un48164-p-n-1736056?cid=Shopping-Bing-Product1736056-&amp;msclkid=270630e984d713bdabd65791c40e6a83&amp;utm_source=bing&amp;utm_medium=cpc&amp;utm_campaign=Shopping%20-%20All%20Products&amp;utm_term=4585375807245420&amp;utm_content=All%20Products" xr:uid="{8EC62EB5-B485-455D-96B2-F534AB963170}"/>
    <hyperlink ref="F49" r:id="rId2" display="https://jefferspet.com/products/speedrite-3000-dual-purpose-energizer-3-joule?currency=USD&amp;variant=44380430827709&amp;stkn=724309ba82d0&amp;msclkid=9fa33b6cc93c15c7144e5c148dea359c&amp;utm_source=bing&amp;utm_medium=cpc&amp;utm_campaign=US%20%7C%20PMax%20%7C%20Catch%20All%20-%20no%20audience%20signals%20%7C%20ROAS%20700%25&amp;utm_term=2331926724053132&amp;utm_content=No%20Asset" xr:uid="{E90618E6-AA25-4B6E-9742-6AFC28F811B7}"/>
    <hyperlink ref="F50" r:id="rId3" display="https://www.tractorsupply.com/tsc/product/ghost-controls-solar-panel-30w-with-brackets-no-post-ax30w?msockid=2e022c62f70a67a21514390bf6d366d0" xr:uid="{F91E30FA-6A1D-4B76-A333-F833D494021A}"/>
    <hyperlink ref="F51" r:id="rId4" display="https://www.tractorsupply.com/tsc/product/ghost-controls-battery-box-kit-with-batteries-and-harness-abbt2" xr:uid="{8F570827-8CF7-4490-AF93-EE6F5EA7D2AF}"/>
    <hyperlink ref="B53" r:id="rId5" display="https://westernlandowners.org/wp-content/uploads/2024/08/Electric-Fencing-Tool-Kit-FINAL.pdf" xr:uid="{1C5C6841-A9E5-4736-987E-C953E041DF2C}"/>
    <hyperlink ref="B55" r:id="rId6" display="https://westernwildlife.org/wp-content/uploads/2015/10/Fact-Sheet-5-Fencing-Fladry-and-Night-penning.pdf" xr:uid="{733C3CE9-4E7B-4F52-BAF2-66FFE04A9119}"/>
    <hyperlink ref="B54" r:id="rId7" display="https://defenders.org/sites/default/files/publications/livestock_and_wolves.pdf" xr:uid="{EC6104CB-864A-4C43-BE92-3F7F1E00E6A1}"/>
  </hyperlinks>
  <pageMargins left="0.7" right="0.7" top="0.75" bottom="0.75" header="0.3" footer="0.3"/>
  <pageSetup orientation="portrait" r:id="rId8"/>
  <drawing r:id="rId9"/>
  <extLst>
    <ext xmlns:x14="http://schemas.microsoft.com/office/spreadsheetml/2009/9/main" uri="{CCE6A557-97BC-4b89-ADB6-D9C93CAAB3DF}">
      <x14:dataValidations xmlns:xm="http://schemas.microsoft.com/office/excel/2006/main" count="3">
        <x14:dataValidation type="list" allowBlank="1" showInputMessage="1" showErrorMessage="1" xr:uid="{C239A041-EC44-47EE-8EE1-2B6A01D816A7}">
          <x14:formula1>
            <xm:f>List!$B$2:$B$9</xm:f>
          </x14:formula1>
          <xm:sqref>H12</xm:sqref>
        </x14:dataValidation>
        <x14:dataValidation type="list" allowBlank="1" showInputMessage="1" showErrorMessage="1" xr:uid="{EC7ACEB2-EC33-4569-B3B0-6BD59D5A58C1}">
          <x14:formula1>
            <xm:f>List!$J$2:$J$6</xm:f>
          </x14:formula1>
          <xm:sqref>F18 L19</xm:sqref>
        </x14:dataValidation>
        <x14:dataValidation type="list" allowBlank="1" showInputMessage="1" showErrorMessage="1" xr:uid="{6FD4F38F-C3CF-409C-8D7B-37BB6DBC5058}">
          <x14:formula1>
            <xm:f>List!$K$2:$K$47</xm:f>
          </x14:formula1>
          <xm:sqref>L18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8A4E0-D522-4AD4-A79C-AA3A5C896B68}">
  <sheetPr>
    <tabColor theme="9" tint="0.59999389629810485"/>
  </sheetPr>
  <dimension ref="A1:U160"/>
  <sheetViews>
    <sheetView topLeftCell="A12" zoomScale="63" zoomScaleNormal="70" workbookViewId="0">
      <selection activeCell="K34" sqref="K34"/>
    </sheetView>
  </sheetViews>
  <sheetFormatPr defaultRowHeight="15" x14ac:dyDescent="0.25"/>
  <cols>
    <col min="1" max="1" width="17.7109375" customWidth="1"/>
    <col min="2" max="2" width="15.42578125" customWidth="1"/>
    <col min="3" max="3" width="11" customWidth="1"/>
    <col min="4" max="4" width="9.42578125" customWidth="1"/>
    <col min="5" max="5" width="10.42578125" customWidth="1"/>
    <col min="6" max="6" width="15.28515625" customWidth="1"/>
    <col min="7" max="7" width="11.28515625" customWidth="1"/>
    <col min="8" max="8" width="14.7109375" customWidth="1"/>
    <col min="9" max="9" width="11.28515625" customWidth="1"/>
    <col min="10" max="10" width="9.85546875" customWidth="1"/>
    <col min="11" max="11" width="8.85546875" customWidth="1"/>
    <col min="12" max="12" width="11.140625" customWidth="1"/>
    <col min="13" max="14" width="8.85546875" customWidth="1"/>
  </cols>
  <sheetData>
    <row r="1" spans="1:15" ht="29.65" customHeight="1" x14ac:dyDescent="0.25">
      <c r="A1" s="372" t="s">
        <v>66</v>
      </c>
      <c r="B1" s="391"/>
      <c r="C1" s="391"/>
      <c r="D1" s="391"/>
      <c r="E1" s="391"/>
      <c r="F1" s="391"/>
      <c r="G1" s="391"/>
      <c r="H1" s="391"/>
      <c r="I1" s="391"/>
      <c r="J1" s="391"/>
      <c r="K1" s="391"/>
      <c r="L1" s="391"/>
      <c r="M1" s="392"/>
    </row>
    <row r="2" spans="1:15" ht="18.75" x14ac:dyDescent="0.3">
      <c r="A2" s="183"/>
      <c r="C2" s="185"/>
      <c r="D2" s="185"/>
      <c r="E2" s="185"/>
      <c r="F2" s="184" t="s">
        <v>166</v>
      </c>
      <c r="G2" s="185"/>
      <c r="H2" s="185"/>
      <c r="I2" s="185"/>
      <c r="J2" s="185"/>
      <c r="K2" s="185"/>
      <c r="L2" s="185"/>
      <c r="M2" s="186"/>
    </row>
    <row r="3" spans="1:15" x14ac:dyDescent="0.25">
      <c r="A3" s="183"/>
      <c r="B3" s="185"/>
      <c r="C3" s="185"/>
      <c r="D3" s="185"/>
      <c r="E3" s="185"/>
      <c r="F3" s="185"/>
      <c r="G3" s="185"/>
      <c r="H3" s="185"/>
      <c r="I3" s="185"/>
      <c r="J3" s="185"/>
      <c r="K3" s="185"/>
      <c r="L3" s="185"/>
      <c r="M3" s="186"/>
    </row>
    <row r="4" spans="1:15" x14ac:dyDescent="0.25">
      <c r="A4" s="183"/>
      <c r="B4" s="180"/>
      <c r="C4" s="180" t="s">
        <v>83</v>
      </c>
      <c r="D4" s="180" t="s">
        <v>84</v>
      </c>
      <c r="E4" s="185"/>
      <c r="F4" s="387" t="s">
        <v>180</v>
      </c>
      <c r="G4" s="387"/>
      <c r="H4" s="387"/>
      <c r="I4" s="387"/>
      <c r="J4" s="166">
        <v>6</v>
      </c>
      <c r="K4" s="185"/>
      <c r="L4" s="185"/>
      <c r="M4" s="186"/>
    </row>
    <row r="5" spans="1:15" ht="14.65" customHeight="1" x14ac:dyDescent="0.25">
      <c r="A5" s="183"/>
      <c r="B5" s="180"/>
      <c r="C5" s="181" t="str">
        <f>J5</f>
        <v>901+</v>
      </c>
      <c r="D5" s="182">
        <f>J6</f>
        <v>25000</v>
      </c>
      <c r="E5" s="185"/>
      <c r="F5" s="387" t="s">
        <v>181</v>
      </c>
      <c r="G5" s="387"/>
      <c r="H5" s="387"/>
      <c r="I5" s="387"/>
      <c r="J5" s="236" t="s">
        <v>179</v>
      </c>
      <c r="K5" s="185"/>
      <c r="L5" s="185"/>
      <c r="M5" s="186"/>
    </row>
    <row r="6" spans="1:15" x14ac:dyDescent="0.25">
      <c r="A6" s="183"/>
      <c r="B6" s="180" t="s">
        <v>85</v>
      </c>
      <c r="C6" s="180" cm="1">
        <f t="array" ref="C6">_xlfn.IFS(C5="0-100",20,C5="101-400",30,C5="401-900",40,C5="901+",50)</f>
        <v>50</v>
      </c>
      <c r="D6" s="180">
        <f>D5*0.0004</f>
        <v>10</v>
      </c>
      <c r="E6" s="185"/>
      <c r="F6" s="387" t="s">
        <v>187</v>
      </c>
      <c r="G6" s="387"/>
      <c r="H6" s="387"/>
      <c r="I6" s="387"/>
      <c r="J6" s="237">
        <v>25000</v>
      </c>
      <c r="K6" s="185"/>
      <c r="L6" s="185"/>
      <c r="M6" s="186"/>
    </row>
    <row r="7" spans="1:15" ht="29.1" customHeight="1" x14ac:dyDescent="0.25">
      <c r="A7" s="183"/>
      <c r="B7" s="185" t="s">
        <v>86</v>
      </c>
      <c r="C7" s="180">
        <f>AVERAGE(C6:D6)</f>
        <v>30</v>
      </c>
      <c r="D7" s="185"/>
      <c r="E7" s="185"/>
      <c r="F7" s="403" t="s">
        <v>182</v>
      </c>
      <c r="G7" s="403"/>
      <c r="H7" s="403"/>
      <c r="I7" s="403"/>
      <c r="J7" s="237">
        <v>15</v>
      </c>
      <c r="K7" s="185"/>
      <c r="L7" s="185"/>
      <c r="M7" s="186"/>
    </row>
    <row r="8" spans="1:15" x14ac:dyDescent="0.25">
      <c r="A8" s="183"/>
      <c r="B8" s="185"/>
      <c r="C8" s="185"/>
      <c r="D8" s="185"/>
      <c r="E8" s="185"/>
      <c r="F8" s="387" t="s">
        <v>183</v>
      </c>
      <c r="G8" s="387"/>
      <c r="H8" s="387"/>
      <c r="I8" s="387"/>
      <c r="J8" s="179" t="s">
        <v>70</v>
      </c>
      <c r="K8" s="185"/>
      <c r="L8" s="185"/>
      <c r="M8" s="186"/>
    </row>
    <row r="9" spans="1:15" x14ac:dyDescent="0.25">
      <c r="A9" s="183"/>
      <c r="B9" s="185"/>
      <c r="C9" s="185"/>
      <c r="D9" s="185"/>
      <c r="E9" s="185"/>
      <c r="F9" s="387" t="s">
        <v>184</v>
      </c>
      <c r="G9" s="387"/>
      <c r="H9" s="387"/>
      <c r="I9" s="387"/>
      <c r="J9" s="179">
        <v>1</v>
      </c>
      <c r="K9" s="185"/>
      <c r="L9" s="185"/>
      <c r="M9" s="186"/>
    </row>
    <row r="10" spans="1:15" x14ac:dyDescent="0.25">
      <c r="A10" s="183"/>
      <c r="B10" s="181" t="s">
        <v>173</v>
      </c>
      <c r="C10" s="185"/>
      <c r="D10" s="185"/>
      <c r="E10" s="185"/>
      <c r="F10" s="387" t="s">
        <v>185</v>
      </c>
      <c r="G10" s="387"/>
      <c r="H10" s="387"/>
      <c r="I10" s="387"/>
      <c r="J10" s="179">
        <v>0</v>
      </c>
      <c r="K10" s="185"/>
      <c r="L10" s="185"/>
      <c r="M10" s="186"/>
    </row>
    <row r="11" spans="1:15" ht="14.45" customHeight="1" x14ac:dyDescent="0.25">
      <c r="A11" s="183"/>
      <c r="B11" s="180">
        <v>0.04</v>
      </c>
      <c r="C11" s="185"/>
      <c r="D11" s="185"/>
      <c r="E11" s="185"/>
      <c r="F11" s="403" t="s">
        <v>186</v>
      </c>
      <c r="G11" s="403"/>
      <c r="H11" s="403"/>
      <c r="I11" s="403"/>
      <c r="J11" s="179" t="s">
        <v>88</v>
      </c>
      <c r="K11" s="185"/>
      <c r="L11" s="185"/>
      <c r="M11" s="186"/>
    </row>
    <row r="12" spans="1:15" x14ac:dyDescent="0.25">
      <c r="A12" s="183"/>
      <c r="B12" s="185"/>
      <c r="C12" s="185"/>
      <c r="D12" s="185"/>
      <c r="E12" s="185"/>
      <c r="F12" s="185"/>
      <c r="G12" s="185"/>
      <c r="H12" s="185"/>
      <c r="I12" s="185"/>
      <c r="J12" s="185"/>
      <c r="K12" s="185"/>
      <c r="L12" s="185"/>
      <c r="M12" s="186"/>
    </row>
    <row r="13" spans="1:15" x14ac:dyDescent="0.25">
      <c r="A13" s="183"/>
      <c r="B13" s="185"/>
      <c r="C13" s="185"/>
      <c r="D13" s="404" t="s">
        <v>87</v>
      </c>
      <c r="E13" s="404"/>
      <c r="F13" s="387" t="s">
        <v>188</v>
      </c>
      <c r="G13" s="387"/>
      <c r="H13" s="387"/>
      <c r="I13" s="387"/>
      <c r="J13" s="238">
        <f>AVERAGE(C6:D6)</f>
        <v>30</v>
      </c>
      <c r="K13" s="185"/>
      <c r="L13" s="185"/>
      <c r="M13" s="186"/>
    </row>
    <row r="14" spans="1:15" ht="14.45" customHeight="1" x14ac:dyDescent="0.25">
      <c r="A14" s="183"/>
      <c r="B14" s="185"/>
      <c r="C14" s="185"/>
      <c r="D14" s="404" t="s">
        <v>87</v>
      </c>
      <c r="E14" s="404"/>
      <c r="F14" s="387" t="s">
        <v>273</v>
      </c>
      <c r="G14" s="387"/>
      <c r="H14" s="387"/>
      <c r="I14" s="387"/>
      <c r="J14" s="238" cm="1">
        <f t="array" ref="J14">_xlfn.IFS(C7&lt;=40, 1, AND(C7&gt;40, C7&lt;=80), 2, C7&gt;80, 3)</f>
        <v>1</v>
      </c>
      <c r="K14" s="185"/>
      <c r="L14" s="185"/>
      <c r="M14" s="186"/>
      <c r="O14" s="90"/>
    </row>
    <row r="15" spans="1:15" ht="15.75" thickBot="1" x14ac:dyDescent="0.3">
      <c r="A15" s="183"/>
      <c r="B15" s="185"/>
      <c r="C15" s="185"/>
      <c r="D15" s="185"/>
      <c r="E15" s="185"/>
      <c r="F15" s="185"/>
      <c r="G15" s="185"/>
      <c r="H15" s="185"/>
      <c r="I15" s="187"/>
      <c r="J15" s="187"/>
      <c r="K15" s="187"/>
      <c r="L15" s="187"/>
      <c r="M15" s="188"/>
      <c r="N15" s="3"/>
      <c r="O15" s="3"/>
    </row>
    <row r="16" spans="1:15" ht="41.65" customHeight="1" thickBot="1" x14ac:dyDescent="0.3">
      <c r="A16" s="33"/>
      <c r="B16" s="379" t="s">
        <v>89</v>
      </c>
      <c r="C16" s="380"/>
      <c r="D16" s="380"/>
      <c r="E16" s="380"/>
      <c r="F16" s="380"/>
      <c r="G16" s="380"/>
      <c r="H16" s="27">
        <v>2025</v>
      </c>
      <c r="I16" s="189"/>
      <c r="J16" s="190"/>
      <c r="K16" s="190"/>
      <c r="L16" s="187"/>
      <c r="M16" s="188"/>
      <c r="N16" s="3"/>
      <c r="O16" s="3"/>
    </row>
    <row r="17" spans="1:15" ht="18.75" x14ac:dyDescent="0.25">
      <c r="A17" s="183"/>
      <c r="B17" s="19" t="s">
        <v>7</v>
      </c>
      <c r="C17" s="3"/>
      <c r="D17" s="3"/>
      <c r="E17" s="3"/>
      <c r="F17" s="3"/>
      <c r="G17" s="3"/>
      <c r="H17" s="20"/>
      <c r="I17" s="187"/>
      <c r="J17" s="191"/>
      <c r="K17" s="191"/>
      <c r="L17" s="192"/>
      <c r="M17" s="193"/>
      <c r="N17" s="92"/>
      <c r="O17" s="92"/>
    </row>
    <row r="18" spans="1:15" x14ac:dyDescent="0.25">
      <c r="A18" s="183"/>
      <c r="B18" s="21" t="s">
        <v>8</v>
      </c>
      <c r="C18" s="22"/>
      <c r="D18" s="22"/>
      <c r="E18" s="23"/>
      <c r="F18" s="23"/>
      <c r="G18" s="23"/>
      <c r="H18" s="24"/>
      <c r="I18" s="187"/>
      <c r="J18" s="190"/>
      <c r="K18" s="190"/>
      <c r="L18" s="194"/>
      <c r="M18" s="195"/>
      <c r="N18" s="3"/>
      <c r="O18" s="3"/>
    </row>
    <row r="19" spans="1:15" ht="30.75" thickBot="1" x14ac:dyDescent="0.3">
      <c r="A19" s="183"/>
      <c r="B19" s="50" t="s">
        <v>90</v>
      </c>
      <c r="C19" s="5" t="s">
        <v>10</v>
      </c>
      <c r="D19" s="5" t="s">
        <v>11</v>
      </c>
      <c r="E19" s="5" t="s">
        <v>12</v>
      </c>
      <c r="F19" s="5" t="s">
        <v>91</v>
      </c>
      <c r="G19" s="256" t="s">
        <v>92</v>
      </c>
      <c r="H19" s="257" t="s">
        <v>93</v>
      </c>
      <c r="I19" s="196"/>
      <c r="J19" s="190"/>
      <c r="K19" s="190"/>
      <c r="L19" s="194"/>
      <c r="M19" s="195"/>
      <c r="N19" s="30"/>
      <c r="O19" s="3"/>
    </row>
    <row r="20" spans="1:15" x14ac:dyDescent="0.25">
      <c r="A20" s="183"/>
      <c r="B20" s="35" t="s">
        <v>16</v>
      </c>
      <c r="C20" s="41"/>
      <c r="D20" s="42"/>
      <c r="E20" s="41"/>
      <c r="F20" s="40"/>
      <c r="G20" s="40"/>
      <c r="H20" s="44"/>
      <c r="I20" s="196"/>
      <c r="J20" s="190"/>
      <c r="K20" s="190"/>
      <c r="L20" s="194"/>
      <c r="M20" s="195"/>
      <c r="N20" s="30"/>
      <c r="O20" s="3"/>
    </row>
    <row r="21" spans="1:15" x14ac:dyDescent="0.25">
      <c r="A21" s="197"/>
      <c r="B21" s="25" t="s">
        <v>94</v>
      </c>
      <c r="C21" s="14" t="s">
        <v>95</v>
      </c>
      <c r="D21" s="54">
        <v>40</v>
      </c>
      <c r="E21" s="14">
        <f>J4</f>
        <v>6</v>
      </c>
      <c r="F21" s="30">
        <f t="shared" ref="F21:F23" si="0">D21*E21</f>
        <v>240</v>
      </c>
      <c r="G21" s="14" t="s">
        <v>43</v>
      </c>
      <c r="H21" s="87">
        <f>F21</f>
        <v>240</v>
      </c>
      <c r="I21" s="185"/>
      <c r="J21" s="190"/>
      <c r="K21" s="190"/>
      <c r="L21" s="198"/>
      <c r="M21" s="199"/>
      <c r="N21" s="30"/>
    </row>
    <row r="22" spans="1:15" x14ac:dyDescent="0.25">
      <c r="A22" s="183"/>
      <c r="B22" s="25" t="s">
        <v>76</v>
      </c>
      <c r="C22" s="14" t="s">
        <v>96</v>
      </c>
      <c r="D22" s="80">
        <v>40</v>
      </c>
      <c r="E22" s="97">
        <f>1*J14</f>
        <v>1</v>
      </c>
      <c r="F22" s="30">
        <f t="shared" si="0"/>
        <v>40</v>
      </c>
      <c r="G22" s="14" t="s">
        <v>43</v>
      </c>
      <c r="H22" s="87">
        <f>F22</f>
        <v>40</v>
      </c>
      <c r="I22" s="185"/>
      <c r="J22" s="200"/>
      <c r="K22" s="200"/>
      <c r="L22" s="185"/>
      <c r="M22" s="199"/>
      <c r="N22" s="30"/>
    </row>
    <row r="23" spans="1:15" x14ac:dyDescent="0.25">
      <c r="A23" s="183"/>
      <c r="B23" s="29" t="s">
        <v>97</v>
      </c>
      <c r="C23" s="97" t="s">
        <v>96</v>
      </c>
      <c r="D23" s="80">
        <v>19.98</v>
      </c>
      <c r="E23" s="97">
        <v>2</v>
      </c>
      <c r="F23" s="30">
        <f t="shared" si="0"/>
        <v>39.96</v>
      </c>
      <c r="G23" s="14">
        <v>3</v>
      </c>
      <c r="H23" s="87">
        <f>PMT($B$11,G23,F23)*-1</f>
        <v>14.399527626858021</v>
      </c>
      <c r="I23" s="201"/>
      <c r="J23" s="190"/>
      <c r="K23" s="190"/>
      <c r="L23" s="198"/>
      <c r="M23" s="199"/>
      <c r="N23" s="30"/>
    </row>
    <row r="24" spans="1:15" ht="15.75" thickBot="1" x14ac:dyDescent="0.3">
      <c r="A24" s="183"/>
      <c r="B24" s="26" t="s">
        <v>39</v>
      </c>
      <c r="C24" s="6"/>
      <c r="D24" s="6"/>
      <c r="E24" s="7"/>
      <c r="F24" s="151">
        <f>SUM(F21:F23)</f>
        <v>319.95999999999998</v>
      </c>
      <c r="G24" s="37"/>
      <c r="H24" s="88">
        <f>SUM(H21:H23)</f>
        <v>294.399527626858</v>
      </c>
      <c r="I24" s="196"/>
      <c r="J24" s="190"/>
      <c r="K24" s="190"/>
      <c r="L24" s="187"/>
      <c r="M24" s="195"/>
      <c r="N24" s="15"/>
      <c r="O24" s="15"/>
    </row>
    <row r="25" spans="1:15" ht="15.75" thickTop="1" x14ac:dyDescent="0.25">
      <c r="A25" s="183"/>
      <c r="B25" s="36" t="s">
        <v>40</v>
      </c>
      <c r="C25" s="41"/>
      <c r="D25" s="41"/>
      <c r="E25" s="40"/>
      <c r="F25" s="41"/>
      <c r="G25" s="41"/>
      <c r="H25" s="46"/>
      <c r="I25" s="187"/>
      <c r="J25" s="190"/>
      <c r="K25" s="190"/>
      <c r="L25" s="187"/>
      <c r="M25" s="195"/>
      <c r="N25" s="3"/>
      <c r="O25" s="3"/>
    </row>
    <row r="26" spans="1:15" x14ac:dyDescent="0.25">
      <c r="A26" s="183"/>
      <c r="B26" s="28" t="s">
        <v>42</v>
      </c>
      <c r="C26" s="14" t="s">
        <v>19</v>
      </c>
      <c r="D26" s="109">
        <v>0.67</v>
      </c>
      <c r="E26" s="14">
        <f>J4*4*(J13/10)*(2*J7)</f>
        <v>2160</v>
      </c>
      <c r="F26" s="99">
        <f>D26*E26</f>
        <v>1447.2</v>
      </c>
      <c r="G26" s="98" t="s">
        <v>43</v>
      </c>
      <c r="H26" s="86">
        <f>F26</f>
        <v>1447.2</v>
      </c>
      <c r="I26" s="187"/>
      <c r="J26" s="190"/>
      <c r="K26" s="190"/>
      <c r="L26" s="187"/>
      <c r="M26" s="195"/>
      <c r="N26" s="3"/>
      <c r="O26" s="3"/>
    </row>
    <row r="27" spans="1:15" x14ac:dyDescent="0.25">
      <c r="A27" s="183"/>
      <c r="B27" s="28" t="s">
        <v>44</v>
      </c>
      <c r="C27" s="14" t="s">
        <v>19</v>
      </c>
      <c r="D27" s="109">
        <v>0.25</v>
      </c>
      <c r="E27" s="14">
        <f>(2/3)*E26</f>
        <v>1440</v>
      </c>
      <c r="F27" s="99">
        <f>IF(J9 = 0, "NA", D27*E27)</f>
        <v>360</v>
      </c>
      <c r="G27" s="98" t="s">
        <v>43</v>
      </c>
      <c r="H27" s="86">
        <f t="shared" ref="H27:H28" si="1">F27</f>
        <v>360</v>
      </c>
      <c r="I27" s="187"/>
      <c r="J27" s="190"/>
      <c r="K27" s="190"/>
      <c r="L27" s="187"/>
      <c r="M27" s="195"/>
      <c r="N27" s="3"/>
      <c r="O27" s="3"/>
    </row>
    <row r="28" spans="1:15" x14ac:dyDescent="0.25">
      <c r="A28" s="183"/>
      <c r="B28" s="28" t="s">
        <v>70</v>
      </c>
      <c r="C28" s="14" t="s">
        <v>98</v>
      </c>
      <c r="D28" s="80">
        <v>15</v>
      </c>
      <c r="E28" s="14">
        <v>96</v>
      </c>
      <c r="F28" s="99">
        <f>IF(J9 = 0, "NA", D28*E28*J9)</f>
        <v>1440</v>
      </c>
      <c r="G28" s="98" t="s">
        <v>43</v>
      </c>
      <c r="H28" s="86">
        <f t="shared" si="1"/>
        <v>1440</v>
      </c>
      <c r="I28" s="196"/>
      <c r="J28" s="190"/>
      <c r="K28" s="190"/>
      <c r="L28" s="187"/>
      <c r="M28" s="186"/>
      <c r="N28" s="3"/>
      <c r="O28" s="3"/>
    </row>
    <row r="29" spans="1:15" x14ac:dyDescent="0.25">
      <c r="A29" s="183"/>
      <c r="B29" s="28" t="s">
        <v>71</v>
      </c>
      <c r="C29" s="14" t="s">
        <v>19</v>
      </c>
      <c r="D29" s="109">
        <v>0.22</v>
      </c>
      <c r="E29" s="14">
        <v>96</v>
      </c>
      <c r="F29" s="80" t="str">
        <f>IF(J10 = 0, "NA", D29*E29*J10)</f>
        <v>NA</v>
      </c>
      <c r="G29" s="98" t="s">
        <v>43</v>
      </c>
      <c r="H29" s="100" t="str">
        <f>F29</f>
        <v>NA</v>
      </c>
      <c r="I29" s="196"/>
      <c r="J29" s="190"/>
      <c r="K29" s="190"/>
      <c r="L29" s="187"/>
      <c r="M29" s="195"/>
      <c r="N29" s="15"/>
      <c r="O29" s="15"/>
    </row>
    <row r="30" spans="1:15" ht="15.75" thickBot="1" x14ac:dyDescent="0.3">
      <c r="A30" s="183"/>
      <c r="B30" s="26" t="s">
        <v>45</v>
      </c>
      <c r="C30" s="6"/>
      <c r="D30" s="6"/>
      <c r="E30" s="7"/>
      <c r="F30" s="275">
        <f>SUM(F26:F28)</f>
        <v>3247.2</v>
      </c>
      <c r="G30" s="6"/>
      <c r="H30" s="58">
        <f>F30</f>
        <v>3247.2</v>
      </c>
      <c r="I30" s="187"/>
      <c r="J30" s="190"/>
      <c r="K30" s="190"/>
      <c r="L30" s="187"/>
      <c r="M30" s="195"/>
      <c r="N30" s="3"/>
      <c r="O30" s="3"/>
    </row>
    <row r="31" spans="1:15" ht="15.75" thickTop="1" x14ac:dyDescent="0.25">
      <c r="A31" s="183"/>
      <c r="B31" s="36" t="s">
        <v>46</v>
      </c>
      <c r="C31" s="41"/>
      <c r="D31" s="41"/>
      <c r="E31" s="40"/>
      <c r="F31" s="41"/>
      <c r="G31" s="41"/>
      <c r="H31" s="47"/>
      <c r="I31" s="196"/>
      <c r="J31" s="190"/>
      <c r="K31" s="190"/>
      <c r="L31" s="187"/>
      <c r="M31" s="195"/>
      <c r="N31" s="3"/>
      <c r="O31" s="3"/>
    </row>
    <row r="32" spans="1:15" x14ac:dyDescent="0.25">
      <c r="A32" s="183"/>
      <c r="B32" s="25" t="s">
        <v>73</v>
      </c>
      <c r="C32" s="14" t="s">
        <v>48</v>
      </c>
      <c r="D32" s="109">
        <v>30</v>
      </c>
      <c r="E32" s="14">
        <f>IF($J$11="Yes",J4*4*J13*1.2,J4*4*J13)</f>
        <v>864</v>
      </c>
      <c r="F32" s="203">
        <f>D32*E32</f>
        <v>25920</v>
      </c>
      <c r="G32" s="202" t="s">
        <v>43</v>
      </c>
      <c r="H32" s="48">
        <f>F32</f>
        <v>25920</v>
      </c>
      <c r="I32" s="196"/>
      <c r="J32" s="190"/>
      <c r="K32" s="190"/>
      <c r="L32" s="187"/>
      <c r="M32" s="195"/>
      <c r="N32" s="3"/>
      <c r="O32" s="3"/>
    </row>
    <row r="33" spans="1:21" ht="15.75" thickBot="1" x14ac:dyDescent="0.3">
      <c r="A33" s="183"/>
      <c r="B33" s="26" t="s">
        <v>50</v>
      </c>
      <c r="C33" s="6"/>
      <c r="D33" s="6"/>
      <c r="E33" s="7"/>
      <c r="F33" s="281">
        <f>SUM(F32)</f>
        <v>25920</v>
      </c>
      <c r="G33" s="7"/>
      <c r="H33" s="58">
        <f>H32</f>
        <v>25920</v>
      </c>
      <c r="I33" s="196"/>
      <c r="J33" s="190"/>
      <c r="K33" s="190"/>
      <c r="L33" s="187"/>
      <c r="M33" s="195"/>
      <c r="N33" s="3"/>
      <c r="O33" s="3"/>
    </row>
    <row r="34" spans="1:21" ht="16.5" thickTop="1" thickBot="1" x14ac:dyDescent="0.3">
      <c r="A34" s="183"/>
      <c r="B34" s="95" t="str">
        <f>CONCATENATE("Total Annual Costs (",J14," rider, ",J10," ATVs, ",J9," horse(s), ",J4," months, ",J13," hours/wk, and ",J6, " acres)")</f>
        <v>Total Annual Costs (1 rider, 0 ATVs, 1 horse(s), 6 months, 30 hours/wk, and 25000 acres)</v>
      </c>
      <c r="C34" s="84"/>
      <c r="D34" s="84"/>
      <c r="E34" s="84"/>
      <c r="F34" s="84"/>
      <c r="G34" s="84"/>
      <c r="H34" s="85">
        <f>SUM(H24,H30,H33)</f>
        <v>29461.599527626859</v>
      </c>
      <c r="I34" s="196"/>
      <c r="J34" s="190"/>
      <c r="K34" s="190"/>
      <c r="L34" s="187"/>
      <c r="M34" s="188"/>
      <c r="N34" s="15"/>
      <c r="O34" s="15"/>
    </row>
    <row r="35" spans="1:21" x14ac:dyDescent="0.25">
      <c r="A35" s="33"/>
      <c r="B35" s="185"/>
      <c r="C35" s="185"/>
      <c r="D35" s="185"/>
      <c r="E35" s="185"/>
      <c r="F35" s="185"/>
      <c r="G35" s="185"/>
      <c r="H35" s="185"/>
      <c r="I35" s="204"/>
      <c r="J35" s="205"/>
      <c r="K35" s="205"/>
      <c r="L35" s="204"/>
      <c r="M35" s="206"/>
      <c r="N35" s="16"/>
      <c r="O35" s="16"/>
    </row>
    <row r="36" spans="1:21" x14ac:dyDescent="0.25">
      <c r="A36" s="183"/>
      <c r="B36" s="185"/>
      <c r="C36" s="185"/>
      <c r="D36" s="185"/>
      <c r="E36" s="185"/>
      <c r="F36" s="185" t="s">
        <v>307</v>
      </c>
      <c r="G36" s="185"/>
      <c r="H36" s="323">
        <f>RR/5</f>
        <v>5892.3199055253717</v>
      </c>
      <c r="I36" s="204"/>
      <c r="J36" s="205"/>
      <c r="K36" s="205"/>
      <c r="L36" s="204"/>
      <c r="M36" s="206"/>
      <c r="N36" s="16"/>
      <c r="O36" s="16"/>
    </row>
    <row r="37" spans="1:21" x14ac:dyDescent="0.25">
      <c r="A37" s="183"/>
      <c r="B37" s="185"/>
      <c r="C37" s="185"/>
      <c r="D37" s="185"/>
      <c r="E37" s="185"/>
      <c r="F37" s="185"/>
      <c r="G37" s="185"/>
      <c r="H37" s="185"/>
      <c r="I37" s="187"/>
      <c r="J37" s="190"/>
      <c r="K37" s="190"/>
      <c r="L37" s="187"/>
      <c r="M37" s="188"/>
      <c r="N37" s="3"/>
      <c r="O37" s="3"/>
    </row>
    <row r="38" spans="1:21" ht="15.75" thickBot="1" x14ac:dyDescent="0.3">
      <c r="A38" s="207"/>
      <c r="B38" s="208"/>
      <c r="C38" s="208"/>
      <c r="D38" s="208"/>
      <c r="E38" s="208"/>
      <c r="F38" s="208"/>
      <c r="G38" s="208"/>
      <c r="H38" s="208"/>
      <c r="I38" s="209"/>
      <c r="J38" s="210"/>
      <c r="K38" s="210"/>
      <c r="L38" s="211"/>
      <c r="M38" s="212"/>
      <c r="N38" s="3"/>
      <c r="O38" s="3"/>
    </row>
    <row r="39" spans="1:21" x14ac:dyDescent="0.25">
      <c r="I39" s="93"/>
      <c r="J39" s="14"/>
      <c r="K39" s="14"/>
      <c r="L39" s="3"/>
      <c r="M39" s="3"/>
      <c r="N39" s="3"/>
      <c r="O39" s="3"/>
    </row>
    <row r="40" spans="1:21" ht="15.75" thickBot="1" x14ac:dyDescent="0.3">
      <c r="I40" s="94"/>
      <c r="J40" s="14"/>
      <c r="K40" s="14"/>
      <c r="L40" s="3"/>
      <c r="M40" s="3"/>
      <c r="N40" s="3"/>
      <c r="O40" s="3"/>
    </row>
    <row r="41" spans="1:21" ht="21" x14ac:dyDescent="0.35">
      <c r="B41" s="410" t="s">
        <v>214</v>
      </c>
      <c r="C41" s="411"/>
      <c r="D41" s="411"/>
      <c r="E41" s="412"/>
      <c r="I41" s="38"/>
      <c r="J41" s="39"/>
      <c r="K41" s="39"/>
      <c r="L41" s="38"/>
      <c r="M41" s="38"/>
      <c r="N41" s="16"/>
      <c r="O41" s="16"/>
    </row>
    <row r="42" spans="1:21" x14ac:dyDescent="0.25">
      <c r="B42" s="252" t="s">
        <v>0</v>
      </c>
      <c r="C42" s="258" t="s">
        <v>67</v>
      </c>
      <c r="D42" s="383" t="s">
        <v>68</v>
      </c>
      <c r="E42" s="384"/>
    </row>
    <row r="43" spans="1:21" x14ac:dyDescent="0.25">
      <c r="B43" s="33" t="s">
        <v>69</v>
      </c>
      <c r="C43" s="255" t="s">
        <v>253</v>
      </c>
      <c r="D43" s="357" t="s">
        <v>222</v>
      </c>
      <c r="E43" s="358"/>
    </row>
    <row r="44" spans="1:21" x14ac:dyDescent="0.25">
      <c r="B44" s="33" t="s">
        <v>71</v>
      </c>
      <c r="C44" t="s">
        <v>72</v>
      </c>
      <c r="D44" s="357" t="s">
        <v>225</v>
      </c>
      <c r="E44" s="358"/>
    </row>
    <row r="45" spans="1:21" x14ac:dyDescent="0.25">
      <c r="B45" s="33" t="s">
        <v>73</v>
      </c>
      <c r="C45" s="34" t="s">
        <v>252</v>
      </c>
      <c r="D45" s="405" t="s">
        <v>254</v>
      </c>
      <c r="E45" s="406"/>
      <c r="U45" s="124"/>
    </row>
    <row r="46" spans="1:21" x14ac:dyDescent="0.25">
      <c r="B46" s="33" t="s">
        <v>74</v>
      </c>
      <c r="C46" t="s">
        <v>75</v>
      </c>
      <c r="D46" s="357" t="s">
        <v>223</v>
      </c>
      <c r="E46" s="358"/>
    </row>
    <row r="47" spans="1:21" x14ac:dyDescent="0.25">
      <c r="B47" s="33" t="s">
        <v>76</v>
      </c>
      <c r="C47" s="34" t="s">
        <v>77</v>
      </c>
      <c r="D47" s="357" t="s">
        <v>224</v>
      </c>
      <c r="E47" s="358"/>
    </row>
    <row r="48" spans="1:21" x14ac:dyDescent="0.25">
      <c r="B48" s="33" t="s">
        <v>226</v>
      </c>
      <c r="C48" t="s">
        <v>78</v>
      </c>
      <c r="D48" s="357" t="s">
        <v>225</v>
      </c>
      <c r="E48" s="358"/>
    </row>
    <row r="49" spans="2:5" ht="14.65" customHeight="1" x14ac:dyDescent="0.25">
      <c r="B49" s="222" t="s">
        <v>165</v>
      </c>
      <c r="C49" s="223"/>
      <c r="D49" s="223"/>
      <c r="E49" s="224"/>
    </row>
    <row r="50" spans="2:5" x14ac:dyDescent="0.25">
      <c r="B50" s="369" t="s">
        <v>245</v>
      </c>
      <c r="C50" s="398"/>
      <c r="D50" s="398"/>
      <c r="E50" s="399"/>
    </row>
    <row r="51" spans="2:5" x14ac:dyDescent="0.25">
      <c r="B51" s="366" t="s">
        <v>247</v>
      </c>
      <c r="C51" s="405"/>
      <c r="D51" s="405"/>
      <c r="E51" s="406"/>
    </row>
    <row r="52" spans="2:5" ht="15.75" thickBot="1" x14ac:dyDescent="0.3">
      <c r="B52" s="407" t="s">
        <v>246</v>
      </c>
      <c r="C52" s="408"/>
      <c r="D52" s="408"/>
      <c r="E52" s="409"/>
    </row>
    <row r="157" spans="1:1" x14ac:dyDescent="0.25">
      <c r="A157" t="s">
        <v>79</v>
      </c>
    </row>
    <row r="158" spans="1:1" x14ac:dyDescent="0.25">
      <c r="A158" t="s">
        <v>80</v>
      </c>
    </row>
    <row r="159" spans="1:1" x14ac:dyDescent="0.25">
      <c r="A159" t="s">
        <v>81</v>
      </c>
    </row>
    <row r="160" spans="1:1" x14ac:dyDescent="0.25">
      <c r="A160" t="s">
        <v>82</v>
      </c>
    </row>
  </sheetData>
  <mergeCells count="25">
    <mergeCell ref="B41:E41"/>
    <mergeCell ref="D42:E42"/>
    <mergeCell ref="D43:E43"/>
    <mergeCell ref="D48:E48"/>
    <mergeCell ref="D47:E47"/>
    <mergeCell ref="B50:E50"/>
    <mergeCell ref="B51:E51"/>
    <mergeCell ref="D44:E44"/>
    <mergeCell ref="D45:E45"/>
    <mergeCell ref="B52:E52"/>
    <mergeCell ref="D46:E46"/>
    <mergeCell ref="A1:M1"/>
    <mergeCell ref="F9:I9"/>
    <mergeCell ref="F8:I8"/>
    <mergeCell ref="F7:I7"/>
    <mergeCell ref="F6:I6"/>
    <mergeCell ref="F5:I5"/>
    <mergeCell ref="B16:G16"/>
    <mergeCell ref="F11:I11"/>
    <mergeCell ref="F10:I10"/>
    <mergeCell ref="F4:I4"/>
    <mergeCell ref="F13:I13"/>
    <mergeCell ref="F14:I14"/>
    <mergeCell ref="D13:E13"/>
    <mergeCell ref="D14:E14"/>
  </mergeCells>
  <hyperlinks>
    <hyperlink ref="D48" r:id="rId1" display="https://www.eia.gov/petroleum/gasdiesel/" xr:uid="{76AA51E7-27BC-4870-B12E-F081DB56D623}"/>
    <hyperlink ref="D47" r:id="rId2" display="https://www.mypatriotsupply.com/products/max-bear-and-mountain-lion-attack-deterrent-spray-9-2-oz?currency=USD&amp;variant=41568046809181&amp;stkn=a4702bdecb9c&amp;b_campaign=JUICE%20%7C%20PMAX%20%7C%20Catch%20All&amp;b_campaignid=401558888&amp;b_term=default&amp;b_productid=CS_BEAR_SPRAY&amp;b_adgroup=Catch%20All&amp;b_adgroupid=1296325338894177&amp;b_adid=81020387986955&amp;b_termid=pla-2332820076961484&amp;b_isproduct=product&amp;msclkid=d4dfcc76597d146f631eaaaecc72faf9&amp;utm_source=bing&amp;utm_medium=cpc&amp;utm_campaign=JUICE%20%7C%20PMAX%20%7C%20Catch%20All&amp;utm_term=2332820076961484&amp;utm_content=Catch%20All" xr:uid="{5341C862-F404-4F8C-BBD1-6EE128FB74E9}"/>
    <hyperlink ref="D46" r:id="rId3" display="https://www.irs.gov/newsroom/irs-issues-standard-mileage-rates-for-2024-mileage-rate-increases-to-67-cents-a-mile-up-1-point-5-cents-from-2023" xr:uid="{20A6C1E4-BEB7-44AF-8FD2-8C49CB84AF1E}"/>
    <hyperlink ref="D43" r:id="rId4" display="https://www.homedepot.com/p/Everbilt-8-ft-x-10-ft-Brown-and-Silver-Heavy-Duty-Tarp-PY008/308137797" xr:uid="{FBE5BDA2-82A3-4A4D-8574-601BDED3FFBE}"/>
    <hyperlink ref="B50" r:id="rId5" display="https://westernlandowners.org/wp-content/uploads/2024/08/Range-Riding-Tool-Kit-FINAL.pdf" xr:uid="{F585D163-8082-433E-8DB7-0FB5F859C169}"/>
    <hyperlink ref="B52" r:id="rId6" display="https://extension.colostate.edu/wp-content/uploads/2022/01/WolfResourcesGuide.pdf" xr:uid="{F8CA5CA0-A5C4-4450-A9B9-903F3476A867}"/>
    <hyperlink ref="B51" r:id="rId7" display="https://conservationnw.org/our-work/wildlife/range-rider-pilot-project/" xr:uid="{D7F137B1-080D-4D23-96A3-EE78D1741403}"/>
    <hyperlink ref="D44" r:id="rId8" display="https://www.eia.gov/petroleum/gasdiesel/" xr:uid="{3FD30417-7A86-480D-944F-4BD0663D0527}"/>
  </hyperlinks>
  <pageMargins left="0.7" right="0.7" top="0.75" bottom="0.75" header="0.3" footer="0.3"/>
  <pageSetup orientation="portrait" r:id="rId9"/>
  <ignoredErrors>
    <ignoredError sqref="J13:J14" unlockedFormula="1"/>
  </ignoredErrors>
  <drawing r:id="rId10"/>
  <extLst>
    <ext xmlns:x14="http://schemas.microsoft.com/office/spreadsheetml/2009/9/main" uri="{CCE6A557-97BC-4b89-ADB6-D9C93CAAB3DF}">
      <x14:dataValidations xmlns:xm="http://schemas.microsoft.com/office/excel/2006/main" count="6">
        <x14:dataValidation type="list" allowBlank="1" showInputMessage="1" showErrorMessage="1" xr:uid="{3A2D46E8-C524-4D6A-B74C-0564CA39D41E}">
          <x14:formula1>
            <xm:f>List!$B$2:$B$9</xm:f>
          </x14:formula1>
          <xm:sqref>B11</xm:sqref>
        </x14:dataValidation>
        <x14:dataValidation type="list" allowBlank="1" showInputMessage="1" showErrorMessage="1" xr:uid="{58F0437F-70B4-4BC0-B78C-F5916D1EDE03}">
          <x14:formula1>
            <xm:f>List!$C$2:$C$5</xm:f>
          </x14:formula1>
          <xm:sqref>J5</xm:sqref>
        </x14:dataValidation>
        <x14:dataValidation type="list" allowBlank="1" showInputMessage="1" showErrorMessage="1" xr:uid="{EF17DB7A-316C-41F4-8F29-B5D096CBD4B8}">
          <x14:formula1>
            <xm:f>List!$F$2:$F$13</xm:f>
          </x14:formula1>
          <xm:sqref>J4</xm:sqref>
        </x14:dataValidation>
        <x14:dataValidation type="list" allowBlank="1" showInputMessage="1" showErrorMessage="1" xr:uid="{E7E84462-86E1-462F-97F8-54888BA8F6A9}">
          <x14:formula1>
            <xm:f>List!$G$2:$G$3</xm:f>
          </x14:formula1>
          <xm:sqref>J8</xm:sqref>
        </x14:dataValidation>
        <x14:dataValidation type="list" allowBlank="1" showInputMessage="1" showErrorMessage="1" xr:uid="{86E37C60-EFC3-4490-942C-77312668745C}">
          <x14:formula1>
            <xm:f>List!$H$2:$H$7</xm:f>
          </x14:formula1>
          <xm:sqref>J9</xm:sqref>
        </x14:dataValidation>
        <x14:dataValidation type="list" allowBlank="1" showInputMessage="1" showErrorMessage="1" xr:uid="{95296520-954E-4C03-9EC3-3BD3DA300741}">
          <x14:formula1>
            <xm:f>List!$I$2:$I$7</xm:f>
          </x14:formula1>
          <xm:sqref>J10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59A5C-086B-4FD4-B46B-D207072A3197}">
  <sheetPr>
    <tabColor theme="9" tint="0.59999389629810485"/>
  </sheetPr>
  <dimension ref="A1:U134"/>
  <sheetViews>
    <sheetView topLeftCell="A11" zoomScale="48" zoomScaleNormal="70" workbookViewId="0">
      <selection activeCell="N55" sqref="N55"/>
    </sheetView>
  </sheetViews>
  <sheetFormatPr defaultRowHeight="15" x14ac:dyDescent="0.25"/>
  <cols>
    <col min="1" max="1" width="11.42578125" customWidth="1"/>
    <col min="2" max="2" width="34" customWidth="1"/>
    <col min="3" max="3" width="8.85546875" bestFit="1" customWidth="1"/>
    <col min="4" max="5" width="9.85546875" bestFit="1" customWidth="1"/>
    <col min="6" max="6" width="11.140625" customWidth="1"/>
    <col min="7" max="7" width="8.7109375" customWidth="1"/>
    <col min="8" max="8" width="12.5703125" customWidth="1"/>
    <col min="9" max="9" width="10.85546875" bestFit="1" customWidth="1"/>
    <col min="10" max="10" width="25" customWidth="1"/>
    <col min="11" max="11" width="9.85546875" bestFit="1" customWidth="1"/>
    <col min="12" max="13" width="10" customWidth="1"/>
    <col min="14" max="14" width="12" customWidth="1"/>
    <col min="15" max="15" width="8.42578125" customWidth="1"/>
    <col min="16" max="16" width="10.85546875" customWidth="1"/>
    <col min="17" max="17" width="9" bestFit="1" customWidth="1"/>
  </cols>
  <sheetData>
    <row r="1" spans="1:21" ht="29.45" customHeight="1" x14ac:dyDescent="0.25">
      <c r="A1" s="372" t="s">
        <v>162</v>
      </c>
      <c r="B1" s="391"/>
      <c r="C1" s="391"/>
      <c r="D1" s="391"/>
      <c r="E1" s="391"/>
      <c r="F1" s="391"/>
      <c r="G1" s="391"/>
      <c r="H1" s="391"/>
      <c r="I1" s="391"/>
      <c r="J1" s="391"/>
      <c r="K1" s="391"/>
      <c r="L1" s="391"/>
      <c r="M1" s="391"/>
      <c r="N1" s="391"/>
      <c r="O1" s="391"/>
      <c r="P1" s="391"/>
      <c r="Q1" s="391"/>
      <c r="R1" s="391"/>
      <c r="S1" s="391"/>
      <c r="T1" s="391"/>
      <c r="U1" s="392"/>
    </row>
    <row r="2" spans="1:21" ht="18.75" x14ac:dyDescent="0.3">
      <c r="A2" s="185"/>
      <c r="B2" s="184" t="s">
        <v>166</v>
      </c>
      <c r="C2" s="185"/>
      <c r="D2" s="185"/>
      <c r="E2" s="185"/>
      <c r="F2" s="185"/>
      <c r="G2" s="185"/>
      <c r="H2" s="185"/>
      <c r="I2" s="185"/>
      <c r="J2" s="185"/>
      <c r="K2" s="185"/>
      <c r="L2" s="185"/>
      <c r="M2" s="185"/>
      <c r="N2" s="185"/>
      <c r="O2" s="185"/>
      <c r="P2" s="185"/>
      <c r="Q2" s="185"/>
      <c r="R2" s="185"/>
      <c r="S2" s="185"/>
      <c r="T2" s="185"/>
      <c r="U2" s="186"/>
    </row>
    <row r="3" spans="1:21" x14ac:dyDescent="0.25">
      <c r="A3" s="185"/>
      <c r="B3" s="387" t="s">
        <v>274</v>
      </c>
      <c r="C3" s="387"/>
      <c r="D3" s="387"/>
      <c r="E3" s="387"/>
      <c r="F3" s="166">
        <v>100</v>
      </c>
      <c r="G3" s="185"/>
      <c r="H3" s="179" t="s">
        <v>170</v>
      </c>
      <c r="I3" s="185"/>
      <c r="J3" s="185"/>
      <c r="K3" s="185"/>
      <c r="L3" s="185"/>
      <c r="M3" s="185"/>
      <c r="N3" s="185"/>
      <c r="O3" s="185"/>
      <c r="P3" s="185"/>
      <c r="Q3" s="185"/>
      <c r="R3" s="185"/>
      <c r="S3" s="185"/>
      <c r="T3" s="185"/>
      <c r="U3" s="186"/>
    </row>
    <row r="4" spans="1:21" ht="14.65" customHeight="1" x14ac:dyDescent="0.25">
      <c r="A4" s="185"/>
      <c r="B4" s="387" t="s">
        <v>276</v>
      </c>
      <c r="C4" s="387"/>
      <c r="D4" s="387"/>
      <c r="E4" s="387"/>
      <c r="F4" s="166">
        <v>0.75</v>
      </c>
      <c r="G4" s="185"/>
      <c r="H4" s="166">
        <v>0.04</v>
      </c>
      <c r="I4" s="185"/>
      <c r="J4" s="185"/>
      <c r="K4" s="185"/>
      <c r="L4" s="185"/>
      <c r="M4" s="185"/>
      <c r="N4" s="185"/>
      <c r="O4" s="185"/>
      <c r="P4" s="185"/>
      <c r="Q4" s="185"/>
      <c r="R4" s="185"/>
      <c r="S4" s="185"/>
      <c r="T4" s="185"/>
      <c r="U4" s="186"/>
    </row>
    <row r="5" spans="1:21" x14ac:dyDescent="0.25">
      <c r="A5" s="185"/>
      <c r="B5" s="387" t="s">
        <v>277</v>
      </c>
      <c r="C5" s="387"/>
      <c r="D5" s="387"/>
      <c r="E5" s="387"/>
      <c r="F5" s="166">
        <v>40</v>
      </c>
      <c r="G5" s="185"/>
      <c r="H5" s="185"/>
      <c r="I5" s="185"/>
      <c r="J5" s="185"/>
      <c r="K5" s="185"/>
      <c r="L5" s="185"/>
      <c r="M5" s="185"/>
      <c r="N5" s="185"/>
      <c r="O5" s="185"/>
      <c r="P5" s="185"/>
      <c r="Q5" s="185"/>
      <c r="R5" s="185"/>
      <c r="S5" s="185"/>
      <c r="T5" s="185"/>
      <c r="U5" s="186"/>
    </row>
    <row r="6" spans="1:21" x14ac:dyDescent="0.25">
      <c r="A6" s="185"/>
      <c r="B6" s="387" t="s">
        <v>171</v>
      </c>
      <c r="C6" s="387"/>
      <c r="D6" s="387"/>
      <c r="E6" s="387"/>
      <c r="F6" s="166">
        <v>300</v>
      </c>
      <c r="G6" s="185"/>
      <c r="H6" s="185"/>
      <c r="I6" s="185"/>
      <c r="J6" s="185"/>
      <c r="K6" s="185"/>
      <c r="L6" s="185"/>
      <c r="M6" s="185"/>
      <c r="N6" s="185"/>
      <c r="O6" s="185"/>
      <c r="P6" s="185"/>
      <c r="Q6" s="185"/>
      <c r="R6" s="185"/>
      <c r="S6" s="185"/>
      <c r="T6" s="185"/>
      <c r="U6" s="186"/>
    </row>
    <row r="7" spans="1:21" x14ac:dyDescent="0.25">
      <c r="A7" s="185"/>
      <c r="B7" s="387" t="s">
        <v>172</v>
      </c>
      <c r="C7" s="387"/>
      <c r="D7" s="387"/>
      <c r="E7" s="387"/>
      <c r="F7" s="166">
        <v>0.25</v>
      </c>
      <c r="G7" s="185"/>
      <c r="H7" s="185"/>
      <c r="I7" s="185"/>
      <c r="J7" s="185"/>
      <c r="K7" s="185"/>
      <c r="L7" s="185"/>
      <c r="M7" s="185"/>
      <c r="N7" s="185"/>
      <c r="O7" s="185"/>
      <c r="P7" s="185"/>
      <c r="Q7" s="185"/>
      <c r="R7" s="185"/>
      <c r="S7" s="185"/>
      <c r="T7" s="185"/>
      <c r="U7" s="186"/>
    </row>
    <row r="8" spans="1:21" x14ac:dyDescent="0.25">
      <c r="A8" s="183"/>
      <c r="B8" s="185"/>
      <c r="C8" s="185"/>
      <c r="D8" s="185"/>
      <c r="E8" s="185"/>
      <c r="F8" s="185"/>
      <c r="G8" s="185"/>
      <c r="H8" s="185"/>
      <c r="I8" s="185"/>
      <c r="J8" s="185"/>
      <c r="K8" s="185"/>
      <c r="L8" s="185"/>
      <c r="M8" s="185"/>
      <c r="N8" s="185"/>
      <c r="O8" s="185"/>
      <c r="P8" s="185"/>
      <c r="Q8" s="185"/>
      <c r="R8" s="185"/>
      <c r="S8" s="185"/>
      <c r="T8" s="185"/>
      <c r="U8" s="186"/>
    </row>
    <row r="9" spans="1:21" ht="15.75" thickBot="1" x14ac:dyDescent="0.3">
      <c r="A9" s="183"/>
      <c r="B9" s="185"/>
      <c r="C9" s="185"/>
      <c r="D9" s="185"/>
      <c r="E9" s="185"/>
      <c r="F9" s="185"/>
      <c r="G9" s="185"/>
      <c r="H9" s="185"/>
      <c r="I9" s="185"/>
      <c r="J9" s="185"/>
      <c r="K9" s="185"/>
      <c r="L9" s="185"/>
      <c r="M9" s="185"/>
      <c r="N9" s="185"/>
      <c r="O9" s="185"/>
      <c r="P9" s="185"/>
      <c r="Q9" s="185"/>
      <c r="R9" s="185"/>
      <c r="S9" s="185"/>
      <c r="T9" s="185"/>
      <c r="U9" s="186"/>
    </row>
    <row r="10" spans="1:21" ht="44.45" customHeight="1" thickBot="1" x14ac:dyDescent="0.35">
      <c r="B10" s="414" t="str">
        <f>CONCATENATE("Colorado - Bin System Carcass Composting Enterprise Budget for ~ ",F3," Head of Livestock")</f>
        <v>Colorado - Bin System Carcass Composting Enterprise Budget for ~ 100 Head of Livestock</v>
      </c>
      <c r="C10" s="415"/>
      <c r="D10" s="415"/>
      <c r="E10" s="415"/>
      <c r="F10" s="415"/>
      <c r="G10" s="415"/>
      <c r="H10" s="27">
        <v>2025</v>
      </c>
      <c r="I10" s="185"/>
      <c r="J10" s="379" t="str">
        <f>CONCATENATE("Carcass Composting Fence Enterprise Budget - Total Costs for ",F7," Mile(s) of Fencing")</f>
        <v>Carcass Composting Fence Enterprise Budget - Total Costs for 0.25 Mile(s) of Fencing</v>
      </c>
      <c r="K10" s="380"/>
      <c r="L10" s="380"/>
      <c r="M10" s="380"/>
      <c r="N10" s="380"/>
      <c r="O10" s="380"/>
      <c r="P10" s="27">
        <v>2025</v>
      </c>
      <c r="Q10" s="185"/>
      <c r="R10" s="185"/>
      <c r="S10" s="185"/>
      <c r="T10" s="185"/>
      <c r="U10" s="186"/>
    </row>
    <row r="11" spans="1:21" ht="18.75" x14ac:dyDescent="0.25">
      <c r="A11" s="183"/>
      <c r="B11" s="19" t="s">
        <v>7</v>
      </c>
      <c r="C11" s="3"/>
      <c r="D11" s="3"/>
      <c r="E11" s="3"/>
      <c r="G11" s="3"/>
      <c r="H11" s="20"/>
      <c r="I11" s="185"/>
      <c r="J11" s="19" t="s">
        <v>7</v>
      </c>
      <c r="K11" s="3"/>
      <c r="L11" s="3"/>
      <c r="M11" s="3"/>
      <c r="N11" s="3"/>
      <c r="O11" s="3"/>
      <c r="P11" s="20"/>
      <c r="Q11" s="185"/>
      <c r="R11" s="185"/>
      <c r="S11" s="185"/>
      <c r="T11" s="185"/>
      <c r="U11" s="186"/>
    </row>
    <row r="12" spans="1:21" ht="15.75" thickBot="1" x14ac:dyDescent="0.3">
      <c r="A12" s="183"/>
      <c r="B12" s="21" t="s">
        <v>8</v>
      </c>
      <c r="C12" s="22"/>
      <c r="D12" s="22"/>
      <c r="E12" s="23"/>
      <c r="F12" s="157"/>
      <c r="G12" s="23"/>
      <c r="H12" s="24"/>
      <c r="I12" s="185"/>
      <c r="J12" s="21" t="s">
        <v>8</v>
      </c>
      <c r="K12" s="22"/>
      <c r="L12" s="22"/>
      <c r="M12" s="23"/>
      <c r="N12" s="23"/>
      <c r="O12" s="23"/>
      <c r="P12" s="24"/>
      <c r="Q12" s="185"/>
      <c r="R12" s="185"/>
      <c r="S12" s="185"/>
      <c r="T12" s="185"/>
      <c r="U12" s="186"/>
    </row>
    <row r="13" spans="1:21" ht="45.75" thickBot="1" x14ac:dyDescent="0.3">
      <c r="A13" s="183"/>
      <c r="B13" s="50" t="s">
        <v>9</v>
      </c>
      <c r="C13" s="5" t="s">
        <v>10</v>
      </c>
      <c r="D13" s="5" t="s">
        <v>11</v>
      </c>
      <c r="E13" s="51" t="s">
        <v>12</v>
      </c>
      <c r="F13" s="52" t="s">
        <v>91</v>
      </c>
      <c r="G13" s="52" t="s">
        <v>13</v>
      </c>
      <c r="H13" s="53" t="s">
        <v>105</v>
      </c>
      <c r="I13" s="185"/>
      <c r="J13" s="50" t="s">
        <v>9</v>
      </c>
      <c r="K13" s="5" t="s">
        <v>10</v>
      </c>
      <c r="L13" s="5" t="s">
        <v>11</v>
      </c>
      <c r="M13" s="51" t="s">
        <v>12</v>
      </c>
      <c r="N13" s="51" t="str">
        <f>CONCATENATE("PER ",O52," MILE(S)")</f>
        <v>PER  MILE(S)</v>
      </c>
      <c r="O13" s="76" t="s">
        <v>13</v>
      </c>
      <c r="P13" s="75" t="s">
        <v>14</v>
      </c>
      <c r="Q13" s="185"/>
      <c r="R13" s="185"/>
      <c r="S13" s="185"/>
      <c r="T13" s="185"/>
      <c r="U13" s="186"/>
    </row>
    <row r="14" spans="1:21" x14ac:dyDescent="0.25">
      <c r="A14" s="183"/>
      <c r="B14" s="35" t="s">
        <v>106</v>
      </c>
      <c r="C14" s="41"/>
      <c r="D14" s="42"/>
      <c r="E14" s="41"/>
      <c r="F14" s="133"/>
      <c r="G14" s="133"/>
      <c r="H14" s="81"/>
      <c r="I14" s="185"/>
      <c r="J14" s="35" t="s">
        <v>16</v>
      </c>
      <c r="K14" s="41"/>
      <c r="L14" s="42"/>
      <c r="M14" s="41"/>
      <c r="N14" s="40"/>
      <c r="O14" s="43"/>
      <c r="P14" s="44"/>
      <c r="Q14" s="185"/>
      <c r="R14" s="185"/>
      <c r="S14" s="185"/>
      <c r="T14" s="185"/>
      <c r="U14" s="186"/>
    </row>
    <row r="15" spans="1:21" x14ac:dyDescent="0.25">
      <c r="A15" s="183"/>
      <c r="B15" s="82" t="s">
        <v>107</v>
      </c>
      <c r="C15" s="14" t="s">
        <v>108</v>
      </c>
      <c r="D15" s="30">
        <v>64.989999999999995</v>
      </c>
      <c r="E15" s="14">
        <v>1</v>
      </c>
      <c r="F15" s="104">
        <f>D15*E15</f>
        <v>64.989999999999995</v>
      </c>
      <c r="G15" s="97">
        <v>10</v>
      </c>
      <c r="H15" s="83">
        <f>PMT($H$4,G15,F15)*-1</f>
        <v>8.0126784720155726</v>
      </c>
      <c r="I15" s="185"/>
      <c r="J15" s="25" t="s">
        <v>155</v>
      </c>
      <c r="K15" s="14" t="s">
        <v>157</v>
      </c>
      <c r="L15" s="30">
        <v>452.25</v>
      </c>
      <c r="M15" s="14">
        <f>CEILING(($F$7*5280)/200,1)</f>
        <v>7</v>
      </c>
      <c r="N15" s="30">
        <f>L15*M15</f>
        <v>3165.75</v>
      </c>
      <c r="O15" s="145">
        <v>5</v>
      </c>
      <c r="P15" s="79">
        <f t="shared" ref="P15:P24" si="0">PMT($H$4,O15,N15)*-1</f>
        <v>711.11328454057218</v>
      </c>
      <c r="Q15" s="185"/>
      <c r="R15" s="185"/>
      <c r="S15" s="185"/>
      <c r="T15" s="185"/>
      <c r="U15" s="186"/>
    </row>
    <row r="16" spans="1:21" x14ac:dyDescent="0.25">
      <c r="A16" s="183"/>
      <c r="B16" s="82" t="s">
        <v>104</v>
      </c>
      <c r="C16" s="97" t="s">
        <v>109</v>
      </c>
      <c r="D16" s="30">
        <v>199</v>
      </c>
      <c r="E16" s="97">
        <v>1</v>
      </c>
      <c r="F16" s="104">
        <f t="shared" ref="F16:F17" si="1">D16*E16</f>
        <v>199</v>
      </c>
      <c r="G16" s="97">
        <v>10</v>
      </c>
      <c r="H16" s="83">
        <f>PMT($H$4,G16,F16)*-1</f>
        <v>24.534897921697169</v>
      </c>
      <c r="I16" s="185"/>
      <c r="J16" s="82" t="s">
        <v>156</v>
      </c>
      <c r="K16" s="97" t="s">
        <v>157</v>
      </c>
      <c r="L16" s="104">
        <v>124.99</v>
      </c>
      <c r="M16" s="97">
        <f>CEILING(($F$7*5280*6)/1312,1)</f>
        <v>7</v>
      </c>
      <c r="N16" s="30">
        <f>L16*M16</f>
        <v>874.93</v>
      </c>
      <c r="O16" s="97">
        <v>5</v>
      </c>
      <c r="P16" s="79">
        <f t="shared" si="0"/>
        <v>196.53300040846017</v>
      </c>
      <c r="Q16" s="185"/>
      <c r="R16" s="185"/>
      <c r="S16" s="185"/>
      <c r="T16" s="185"/>
      <c r="U16" s="186"/>
    </row>
    <row r="17" spans="1:21" x14ac:dyDescent="0.25">
      <c r="A17" s="183"/>
      <c r="B17" s="82" t="s">
        <v>110</v>
      </c>
      <c r="C17" s="14" t="s">
        <v>111</v>
      </c>
      <c r="D17" s="30">
        <v>150</v>
      </c>
      <c r="E17" s="14">
        <v>1</v>
      </c>
      <c r="F17" s="104">
        <f t="shared" si="1"/>
        <v>150</v>
      </c>
      <c r="G17" s="97" t="s">
        <v>43</v>
      </c>
      <c r="H17" s="83">
        <f>F17</f>
        <v>150</v>
      </c>
      <c r="I17" s="185"/>
      <c r="J17" s="25" t="s">
        <v>6</v>
      </c>
      <c r="K17" s="14" t="s">
        <v>20</v>
      </c>
      <c r="L17" s="30">
        <v>300</v>
      </c>
      <c r="M17" s="14">
        <v>1</v>
      </c>
      <c r="N17" s="30">
        <f t="shared" ref="N17:N18" si="2">L17*M17</f>
        <v>300</v>
      </c>
      <c r="O17" s="145">
        <v>5</v>
      </c>
      <c r="P17" s="79">
        <f t="shared" si="0"/>
        <v>67.388134047910185</v>
      </c>
      <c r="Q17" s="185"/>
      <c r="R17" s="185"/>
      <c r="S17" s="185"/>
      <c r="T17" s="185"/>
      <c r="U17" s="186"/>
    </row>
    <row r="18" spans="1:21" x14ac:dyDescent="0.25">
      <c r="A18" s="183"/>
      <c r="B18" s="25" t="s">
        <v>112</v>
      </c>
      <c r="C18" s="14" t="s">
        <v>103</v>
      </c>
      <c r="D18" s="30">
        <v>25</v>
      </c>
      <c r="E18" s="14">
        <f>(F6/100)*F3</f>
        <v>300</v>
      </c>
      <c r="F18" s="104">
        <f>(D18*E18*0.8)+800</f>
        <v>6800</v>
      </c>
      <c r="G18" s="97" t="s">
        <v>43</v>
      </c>
      <c r="H18" s="83">
        <f>F18</f>
        <v>6800</v>
      </c>
      <c r="I18" s="185"/>
      <c r="J18" s="25" t="s">
        <v>21</v>
      </c>
      <c r="K18" s="14" t="s">
        <v>22</v>
      </c>
      <c r="L18" s="30">
        <v>62</v>
      </c>
      <c r="M18" s="14">
        <v>1</v>
      </c>
      <c r="N18" s="30">
        <f t="shared" si="2"/>
        <v>62</v>
      </c>
      <c r="O18" s="145">
        <v>5</v>
      </c>
      <c r="P18" s="79">
        <f t="shared" si="0"/>
        <v>13.926881036568105</v>
      </c>
      <c r="Q18" s="185"/>
      <c r="R18" s="185"/>
      <c r="S18" s="185"/>
      <c r="T18" s="185"/>
      <c r="U18" s="186"/>
    </row>
    <row r="19" spans="1:21" x14ac:dyDescent="0.25">
      <c r="A19" s="183"/>
      <c r="B19" s="25" t="s">
        <v>113</v>
      </c>
      <c r="C19" s="14" t="s">
        <v>114</v>
      </c>
      <c r="D19" s="30">
        <v>104.96</v>
      </c>
      <c r="E19" s="14">
        <v>3</v>
      </c>
      <c r="F19" s="104">
        <f t="shared" ref="F19:F24" si="3">D19*E19</f>
        <v>314.88</v>
      </c>
      <c r="G19" s="97">
        <v>5</v>
      </c>
      <c r="H19" s="83">
        <f>PMT($H$4,G19,F19)*-1</f>
        <v>70.73058549668653</v>
      </c>
      <c r="I19" s="185"/>
      <c r="J19" s="25" t="s">
        <v>24</v>
      </c>
      <c r="K19" s="14" t="s">
        <v>25</v>
      </c>
      <c r="L19" s="30">
        <v>1.99</v>
      </c>
      <c r="M19" s="14">
        <f>275*$F$7</f>
        <v>68.75</v>
      </c>
      <c r="N19" s="30">
        <f>L19*M19</f>
        <v>136.8125</v>
      </c>
      <c r="O19" s="145">
        <v>5</v>
      </c>
      <c r="P19" s="79">
        <f t="shared" si="0"/>
        <v>30.731796964765703</v>
      </c>
      <c r="Q19" s="185"/>
      <c r="R19" s="185"/>
      <c r="S19" s="185"/>
      <c r="T19" s="185"/>
      <c r="U19" s="186"/>
    </row>
    <row r="20" spans="1:21" x14ac:dyDescent="0.25">
      <c r="A20" s="183"/>
      <c r="B20" s="25" t="s">
        <v>161</v>
      </c>
      <c r="C20" s="14" t="s">
        <v>154</v>
      </c>
      <c r="D20" s="30">
        <v>5000</v>
      </c>
      <c r="E20" s="14">
        <v>1</v>
      </c>
      <c r="F20" s="104">
        <f t="shared" si="3"/>
        <v>5000</v>
      </c>
      <c r="G20" s="97">
        <v>5</v>
      </c>
      <c r="H20" s="83">
        <f>PMT($H$4,G20,F20)*-1</f>
        <v>1123.1355674651697</v>
      </c>
      <c r="I20" s="185"/>
      <c r="J20" s="33" t="s">
        <v>27</v>
      </c>
      <c r="K20" s="14" t="s">
        <v>28</v>
      </c>
      <c r="L20" s="104">
        <v>0.52</v>
      </c>
      <c r="M20" s="14">
        <f>275*$F$7</f>
        <v>68.75</v>
      </c>
      <c r="N20" s="30">
        <f>L20*M20</f>
        <v>35.75</v>
      </c>
      <c r="O20" s="145">
        <v>5</v>
      </c>
      <c r="P20" s="79">
        <f t="shared" si="0"/>
        <v>8.0304193073759631</v>
      </c>
      <c r="Q20" s="185"/>
      <c r="R20" s="185"/>
      <c r="S20" s="185"/>
      <c r="T20" s="185"/>
      <c r="U20" s="186"/>
    </row>
    <row r="21" spans="1:21" x14ac:dyDescent="0.25">
      <c r="A21" s="183"/>
      <c r="B21" s="82" t="s">
        <v>152</v>
      </c>
      <c r="C21" s="14" t="s">
        <v>153</v>
      </c>
      <c r="D21" s="104">
        <v>69.989999999999995</v>
      </c>
      <c r="E21" s="97">
        <v>2</v>
      </c>
      <c r="F21" s="104">
        <f t="shared" si="3"/>
        <v>139.97999999999999</v>
      </c>
      <c r="G21" s="97">
        <v>5</v>
      </c>
      <c r="H21" s="83">
        <f>PMT($H$4,G21,F21)*-1</f>
        <v>31.443303346754888</v>
      </c>
      <c r="I21" s="185"/>
      <c r="J21" s="28" t="s">
        <v>29</v>
      </c>
      <c r="K21" s="14" t="s">
        <v>25</v>
      </c>
      <c r="L21" s="30">
        <v>14</v>
      </c>
      <c r="M21" s="14">
        <v>10</v>
      </c>
      <c r="N21" s="30">
        <f t="shared" ref="N21:N24" si="4">L21*M21</f>
        <v>140</v>
      </c>
      <c r="O21" s="145">
        <v>5</v>
      </c>
      <c r="P21" s="79">
        <f t="shared" si="0"/>
        <v>31.44779588902475</v>
      </c>
      <c r="Q21" s="185"/>
      <c r="R21" s="185"/>
      <c r="S21" s="185"/>
      <c r="T21" s="185"/>
      <c r="U21" s="186"/>
    </row>
    <row r="22" spans="1:21" x14ac:dyDescent="0.25">
      <c r="A22" s="183"/>
      <c r="B22" s="25" t="s">
        <v>115</v>
      </c>
      <c r="C22" s="14" t="str">
        <f>CONCATENATE($F$7," mile")</f>
        <v>0.25 mile</v>
      </c>
      <c r="D22" s="30">
        <f>P34</f>
        <v>1702.2996076619606</v>
      </c>
      <c r="E22" s="14">
        <v>1</v>
      </c>
      <c r="F22" s="104">
        <f t="shared" si="3"/>
        <v>1702.2996076619606</v>
      </c>
      <c r="G22" s="97" t="s">
        <v>43</v>
      </c>
      <c r="H22" s="83">
        <f>F22</f>
        <v>1702.2996076619606</v>
      </c>
      <c r="I22" s="185"/>
      <c r="J22" s="25" t="s">
        <v>30</v>
      </c>
      <c r="K22" s="14" t="s">
        <v>28</v>
      </c>
      <c r="L22" s="30">
        <v>0.5</v>
      </c>
      <c r="M22" s="14">
        <v>10</v>
      </c>
      <c r="N22" s="30">
        <f t="shared" si="4"/>
        <v>5</v>
      </c>
      <c r="O22" s="145">
        <v>5</v>
      </c>
      <c r="P22" s="79">
        <f t="shared" si="0"/>
        <v>1.1231355674651697</v>
      </c>
      <c r="Q22" s="185"/>
      <c r="R22" s="185"/>
      <c r="S22" s="185"/>
      <c r="T22" s="185"/>
      <c r="U22" s="186"/>
    </row>
    <row r="23" spans="1:21" x14ac:dyDescent="0.25">
      <c r="A23" s="183"/>
      <c r="B23" s="25" t="s">
        <v>116</v>
      </c>
      <c r="C23" s="14" t="s">
        <v>117</v>
      </c>
      <c r="D23" s="30">
        <v>615</v>
      </c>
      <c r="E23" s="14">
        <v>20</v>
      </c>
      <c r="F23" s="104">
        <f t="shared" si="3"/>
        <v>12300</v>
      </c>
      <c r="G23" s="97">
        <v>10</v>
      </c>
      <c r="H23" s="83">
        <f>PMT($H$4,G23,F23)*-1</f>
        <v>1516.4786152606791</v>
      </c>
      <c r="I23" s="185"/>
      <c r="J23" s="25" t="s">
        <v>32</v>
      </c>
      <c r="K23" s="14" t="s">
        <v>33</v>
      </c>
      <c r="L23" s="30">
        <v>3.29</v>
      </c>
      <c r="M23" s="14">
        <v>2</v>
      </c>
      <c r="N23" s="30">
        <f t="shared" si="4"/>
        <v>6.58</v>
      </c>
      <c r="O23" s="145">
        <v>5</v>
      </c>
      <c r="P23" s="79">
        <f t="shared" si="0"/>
        <v>1.4780464067841632</v>
      </c>
      <c r="Q23" s="185"/>
      <c r="R23" s="185"/>
      <c r="S23" s="185"/>
      <c r="T23" s="185"/>
      <c r="U23" s="186"/>
    </row>
    <row r="24" spans="1:21" x14ac:dyDescent="0.25">
      <c r="A24" s="183"/>
      <c r="B24" s="82" t="s">
        <v>159</v>
      </c>
      <c r="C24" s="14" t="s">
        <v>160</v>
      </c>
      <c r="D24" s="104">
        <v>9</v>
      </c>
      <c r="E24" s="97">
        <v>1200</v>
      </c>
      <c r="F24" s="104">
        <f t="shared" si="3"/>
        <v>10800</v>
      </c>
      <c r="G24" s="97">
        <v>10</v>
      </c>
      <c r="H24" s="83">
        <f>PMT($H$4,G24,F24)*-1</f>
        <v>1331.5421987654743</v>
      </c>
      <c r="I24" s="185"/>
      <c r="J24" s="25" t="s">
        <v>158</v>
      </c>
      <c r="K24" s="14" t="s">
        <v>36</v>
      </c>
      <c r="L24" s="104">
        <v>100</v>
      </c>
      <c r="M24" s="145">
        <v>2</v>
      </c>
      <c r="N24" s="30">
        <f t="shared" si="4"/>
        <v>200</v>
      </c>
      <c r="O24" s="145">
        <v>5</v>
      </c>
      <c r="P24" s="79">
        <f t="shared" si="0"/>
        <v>44.925422698606788</v>
      </c>
      <c r="Q24" s="185"/>
      <c r="R24" s="185"/>
      <c r="S24" s="185"/>
      <c r="T24" s="185"/>
      <c r="U24" s="186"/>
    </row>
    <row r="25" spans="1:21" ht="15.6" customHeight="1" thickBot="1" x14ac:dyDescent="0.3">
      <c r="A25" s="183"/>
      <c r="B25" s="26" t="s">
        <v>39</v>
      </c>
      <c r="C25" s="6"/>
      <c r="D25" s="6"/>
      <c r="E25" s="7"/>
      <c r="F25" s="282">
        <f>SUM(F15:F24)</f>
        <v>37471.149607661959</v>
      </c>
      <c r="G25" s="8"/>
      <c r="H25" s="88">
        <f>SUM(H15:H24)</f>
        <v>12758.177454390438</v>
      </c>
      <c r="I25" s="185"/>
      <c r="J25" s="26" t="s">
        <v>39</v>
      </c>
      <c r="K25" s="6"/>
      <c r="L25" s="6"/>
      <c r="M25" s="7"/>
      <c r="N25" s="151">
        <f>SUM(N15:N24)</f>
        <v>4926.8225000000002</v>
      </c>
      <c r="O25" s="8"/>
      <c r="P25" s="58">
        <f>SUM(P15:P24)</f>
        <v>1106.6979168675334</v>
      </c>
      <c r="Q25" s="185"/>
      <c r="R25" s="185"/>
      <c r="S25" s="185"/>
      <c r="T25" s="185"/>
      <c r="U25" s="186"/>
    </row>
    <row r="26" spans="1:21" ht="15.75" thickTop="1" x14ac:dyDescent="0.25">
      <c r="A26" s="183"/>
      <c r="B26" s="36" t="s">
        <v>40</v>
      </c>
      <c r="C26" s="41"/>
      <c r="D26" s="41"/>
      <c r="E26" s="40"/>
      <c r="F26" s="133"/>
      <c r="G26" s="45"/>
      <c r="H26" s="46"/>
      <c r="I26" s="185"/>
      <c r="J26" s="36" t="s">
        <v>40</v>
      </c>
      <c r="K26" s="41"/>
      <c r="L26" s="41"/>
      <c r="M26" s="40"/>
      <c r="N26" s="41"/>
      <c r="O26" s="45"/>
      <c r="P26" s="46"/>
      <c r="Q26" s="185"/>
      <c r="R26" s="185"/>
      <c r="S26" s="185"/>
      <c r="T26" s="185"/>
      <c r="U26" s="186"/>
    </row>
    <row r="27" spans="1:21" x14ac:dyDescent="0.25">
      <c r="A27" s="183"/>
      <c r="B27" s="25" t="s">
        <v>42</v>
      </c>
      <c r="C27" s="14" t="s">
        <v>118</v>
      </c>
      <c r="D27" s="54">
        <v>0.67</v>
      </c>
      <c r="E27" s="14">
        <f>F3*F4*F5</f>
        <v>3000</v>
      </c>
      <c r="F27" s="104">
        <f>D27*E27</f>
        <v>2010.0000000000002</v>
      </c>
      <c r="G27" s="14" t="s">
        <v>43</v>
      </c>
      <c r="H27" s="69">
        <f>F27</f>
        <v>2010.0000000000002</v>
      </c>
      <c r="I27" s="185"/>
      <c r="J27" s="25" t="s">
        <v>42</v>
      </c>
      <c r="K27" s="14" t="s">
        <v>19</v>
      </c>
      <c r="L27" s="54">
        <v>0.67</v>
      </c>
      <c r="M27" s="3">
        <v>20</v>
      </c>
      <c r="N27" s="54">
        <f>L27*M27</f>
        <v>13.4</v>
      </c>
      <c r="O27" s="14" t="s">
        <v>43</v>
      </c>
      <c r="P27" s="69">
        <f>N27</f>
        <v>13.4</v>
      </c>
      <c r="Q27" s="185"/>
      <c r="R27" s="185"/>
      <c r="S27" s="185"/>
      <c r="T27" s="185"/>
      <c r="U27" s="186"/>
    </row>
    <row r="28" spans="1:21" x14ac:dyDescent="0.25">
      <c r="A28" s="183"/>
      <c r="B28" s="82" t="s">
        <v>119</v>
      </c>
      <c r="C28" s="97" t="s">
        <v>98</v>
      </c>
      <c r="D28" s="158">
        <v>100</v>
      </c>
      <c r="E28" s="97">
        <v>100</v>
      </c>
      <c r="F28" s="104">
        <f>D28*E28</f>
        <v>10000</v>
      </c>
      <c r="G28" s="97" t="s">
        <v>43</v>
      </c>
      <c r="H28" s="79">
        <f>F28</f>
        <v>10000</v>
      </c>
      <c r="I28" s="185"/>
      <c r="J28" s="25" t="s">
        <v>44</v>
      </c>
      <c r="K28" s="14" t="s">
        <v>19</v>
      </c>
      <c r="L28" s="54">
        <v>0.25</v>
      </c>
      <c r="M28" s="3">
        <v>10</v>
      </c>
      <c r="N28" s="54">
        <f>L28*M28</f>
        <v>2.5</v>
      </c>
      <c r="O28" s="14" t="s">
        <v>43</v>
      </c>
      <c r="P28" s="69">
        <f>N28</f>
        <v>2.5</v>
      </c>
      <c r="Q28" s="185"/>
      <c r="R28" s="185"/>
      <c r="S28" s="185"/>
      <c r="T28" s="185"/>
      <c r="U28" s="186"/>
    </row>
    <row r="29" spans="1:21" ht="15.75" thickBot="1" x14ac:dyDescent="0.3">
      <c r="A29" s="183"/>
      <c r="B29" s="26" t="s">
        <v>120</v>
      </c>
      <c r="C29" s="6"/>
      <c r="D29" s="6"/>
      <c r="E29" s="7"/>
      <c r="F29" s="282">
        <f>SUM(F27:F28)</f>
        <v>12010</v>
      </c>
      <c r="G29" s="8"/>
      <c r="H29" s="88">
        <f>SUM(H27:H28)</f>
        <v>12010</v>
      </c>
      <c r="I29" s="185"/>
      <c r="J29" s="26" t="s">
        <v>45</v>
      </c>
      <c r="K29" s="6"/>
      <c r="L29" s="6"/>
      <c r="M29" s="7"/>
      <c r="N29" s="151">
        <f>SUM(N27:N28)</f>
        <v>15.9</v>
      </c>
      <c r="O29" s="8"/>
      <c r="P29" s="58">
        <f>SUM(P27:P28)</f>
        <v>15.9</v>
      </c>
      <c r="Q29" s="185"/>
      <c r="R29" s="185"/>
      <c r="S29" s="185"/>
      <c r="T29" s="185"/>
      <c r="U29" s="186"/>
    </row>
    <row r="30" spans="1:21" ht="15.75" thickTop="1" x14ac:dyDescent="0.25">
      <c r="A30" s="183"/>
      <c r="B30" s="36" t="s">
        <v>46</v>
      </c>
      <c r="C30" s="41"/>
      <c r="D30" s="41"/>
      <c r="E30" s="40"/>
      <c r="F30" s="133"/>
      <c r="G30" s="40"/>
      <c r="H30" s="47"/>
      <c r="I30" s="185"/>
      <c r="J30" s="36" t="s">
        <v>46</v>
      </c>
      <c r="K30" s="41"/>
      <c r="L30" s="41"/>
      <c r="M30" s="40"/>
      <c r="N30" s="41"/>
      <c r="O30" s="40"/>
      <c r="P30" s="47"/>
      <c r="Q30" s="185"/>
      <c r="R30" s="185"/>
      <c r="S30" s="185"/>
      <c r="T30" s="185"/>
      <c r="U30" s="186"/>
    </row>
    <row r="31" spans="1:21" x14ac:dyDescent="0.25">
      <c r="A31" s="183"/>
      <c r="B31" s="25" t="s">
        <v>47</v>
      </c>
      <c r="C31" s="14" t="s">
        <v>48</v>
      </c>
      <c r="D31" s="159">
        <v>30</v>
      </c>
      <c r="E31" s="14">
        <v>80</v>
      </c>
      <c r="F31" s="122">
        <f>D31*E31</f>
        <v>2400</v>
      </c>
      <c r="G31" s="14">
        <v>10</v>
      </c>
      <c r="H31" s="69">
        <f>PMT($H$4,G31,F31)*-1</f>
        <v>295.89826639232763</v>
      </c>
      <c r="I31" s="185"/>
      <c r="J31" s="25" t="s">
        <v>47</v>
      </c>
      <c r="K31" s="14" t="s">
        <v>48</v>
      </c>
      <c r="L31" s="130">
        <v>20</v>
      </c>
      <c r="M31">
        <v>40</v>
      </c>
      <c r="N31" s="30">
        <f>L31*M31</f>
        <v>800</v>
      </c>
      <c r="O31" s="118">
        <v>5</v>
      </c>
      <c r="P31" s="48">
        <f>PMT($H$4,O31,N31)*-1</f>
        <v>179.70169079442715</v>
      </c>
      <c r="Q31" s="185"/>
      <c r="R31" s="185"/>
      <c r="S31" s="185"/>
      <c r="T31" s="185"/>
      <c r="U31" s="186"/>
    </row>
    <row r="32" spans="1:21" x14ac:dyDescent="0.25">
      <c r="A32" s="183"/>
      <c r="B32" s="82" t="s">
        <v>121</v>
      </c>
      <c r="C32" s="97" t="s">
        <v>122</v>
      </c>
      <c r="D32" s="160">
        <v>30</v>
      </c>
      <c r="E32" s="97">
        <v>100</v>
      </c>
      <c r="F32" s="122">
        <f>D32*E32</f>
        <v>3000</v>
      </c>
      <c r="G32" s="97" t="s">
        <v>43</v>
      </c>
      <c r="H32" s="79">
        <f>F32</f>
        <v>3000</v>
      </c>
      <c r="I32" s="185"/>
      <c r="J32" s="49" t="s">
        <v>49</v>
      </c>
      <c r="K32" s="64" t="s">
        <v>48</v>
      </c>
      <c r="L32" s="131">
        <v>20</v>
      </c>
      <c r="M32" s="150">
        <v>20</v>
      </c>
      <c r="N32" s="65">
        <f>L32*M32</f>
        <v>400</v>
      </c>
      <c r="O32" s="64" t="s">
        <v>43</v>
      </c>
      <c r="P32" s="66">
        <f>N32</f>
        <v>400</v>
      </c>
      <c r="Q32" s="185"/>
      <c r="R32" s="185"/>
      <c r="S32" s="185"/>
      <c r="T32" s="185"/>
      <c r="U32" s="186"/>
    </row>
    <row r="33" spans="1:21" ht="15.75" thickBot="1" x14ac:dyDescent="0.3">
      <c r="A33" s="183"/>
      <c r="B33" s="161" t="s">
        <v>123</v>
      </c>
      <c r="C33" s="97" t="s">
        <v>48</v>
      </c>
      <c r="D33" s="160">
        <v>30</v>
      </c>
      <c r="E33" s="97">
        <v>30</v>
      </c>
      <c r="F33" s="122">
        <f>D33*E33</f>
        <v>900</v>
      </c>
      <c r="G33" s="97" t="s">
        <v>43</v>
      </c>
      <c r="H33" s="162">
        <f>F33</f>
        <v>900</v>
      </c>
      <c r="I33" s="185"/>
      <c r="J33" s="67" t="s">
        <v>50</v>
      </c>
      <c r="K33" s="59"/>
      <c r="L33" s="59"/>
      <c r="M33" s="60"/>
      <c r="N33" s="62">
        <f>SUM(N31:N32)</f>
        <v>1200</v>
      </c>
      <c r="O33" s="61"/>
      <c r="P33" s="134">
        <f>SUM(P31:P32)</f>
        <v>579.70169079442712</v>
      </c>
      <c r="Q33" s="185"/>
      <c r="R33" s="185"/>
      <c r="S33" s="185"/>
      <c r="T33" s="185"/>
      <c r="U33" s="186"/>
    </row>
    <row r="34" spans="1:21" ht="16.5" thickTop="1" thickBot="1" x14ac:dyDescent="0.3">
      <c r="A34" s="183"/>
      <c r="B34" s="68" t="s">
        <v>50</v>
      </c>
      <c r="C34" s="6"/>
      <c r="D34" s="6"/>
      <c r="E34" s="7"/>
      <c r="F34" s="283">
        <f>SUM(F31:F33)</f>
        <v>6300</v>
      </c>
      <c r="G34" s="8"/>
      <c r="H34" s="88">
        <f>SUM(H31:H32)</f>
        <v>3295.8982663923275</v>
      </c>
      <c r="I34" s="185"/>
      <c r="J34" s="89" t="str">
        <f>CONCATENATE("Total Annualized Costs/Year/",F7, " Mile")</f>
        <v>Total Annualized Costs/Year/0.25 Mile</v>
      </c>
      <c r="K34" s="70"/>
      <c r="L34" s="70"/>
      <c r="M34" s="70"/>
      <c r="N34" s="70"/>
      <c r="O34" s="70"/>
      <c r="P34" s="119">
        <f>SUM(P25,P29,P33)</f>
        <v>1702.2996076619606</v>
      </c>
      <c r="Q34" s="185"/>
      <c r="R34" s="185"/>
      <c r="S34" s="185"/>
      <c r="T34" s="185"/>
      <c r="U34" s="186"/>
    </row>
    <row r="35" spans="1:21" ht="16.5" thickTop="1" thickBot="1" x14ac:dyDescent="0.3">
      <c r="A35" s="183"/>
      <c r="B35" s="102" t="s">
        <v>124</v>
      </c>
      <c r="C35" s="101"/>
      <c r="D35" s="101"/>
      <c r="E35" s="101"/>
      <c r="F35" s="154"/>
      <c r="G35" s="101"/>
      <c r="H35" s="103">
        <f>SUM(H25,H29,H34)</f>
        <v>28064.075720782766</v>
      </c>
      <c r="I35" s="185"/>
      <c r="J35" s="185"/>
      <c r="K35" s="185"/>
      <c r="L35" s="185"/>
      <c r="M35" s="185"/>
      <c r="N35" s="185"/>
      <c r="O35" s="185"/>
      <c r="P35" s="185"/>
      <c r="Q35" s="185"/>
      <c r="R35" s="185"/>
      <c r="S35" s="185"/>
      <c r="T35" s="185"/>
      <c r="U35" s="186"/>
    </row>
    <row r="36" spans="1:21" ht="16.5" thickTop="1" thickBot="1" x14ac:dyDescent="0.3">
      <c r="A36" s="183"/>
      <c r="B36" s="155" t="s">
        <v>125</v>
      </c>
      <c r="C36" s="156"/>
      <c r="D36" s="156"/>
      <c r="E36" s="156"/>
      <c r="F36" s="156"/>
      <c r="G36" s="156"/>
      <c r="H36" s="284">
        <f>H35/F3</f>
        <v>280.64075720782768</v>
      </c>
      <c r="I36" s="185"/>
      <c r="J36" s="185"/>
      <c r="K36" s="185"/>
      <c r="L36" s="185"/>
      <c r="M36" s="185"/>
      <c r="N36" s="185"/>
      <c r="O36" s="185"/>
      <c r="P36" s="185"/>
      <c r="Q36" s="185"/>
      <c r="R36" s="185"/>
      <c r="S36" s="185"/>
      <c r="T36" s="185"/>
      <c r="U36" s="186"/>
    </row>
    <row r="37" spans="1:21" x14ac:dyDescent="0.25">
      <c r="A37" s="183"/>
      <c r="B37" s="185"/>
      <c r="C37" s="185"/>
      <c r="D37" s="185"/>
      <c r="E37" s="185"/>
      <c r="F37" s="185"/>
      <c r="G37" s="185"/>
      <c r="H37" s="185"/>
      <c r="I37" s="185"/>
      <c r="J37" s="185"/>
      <c r="K37" s="185"/>
      <c r="L37" s="185"/>
      <c r="M37" s="185"/>
      <c r="N37" s="185"/>
      <c r="O37" s="185"/>
      <c r="P37" s="185"/>
      <c r="Q37" s="185"/>
      <c r="R37" s="185"/>
      <c r="S37" s="185"/>
      <c r="T37" s="185"/>
      <c r="U37" s="186"/>
    </row>
    <row r="38" spans="1:21" x14ac:dyDescent="0.25">
      <c r="A38" s="183"/>
      <c r="B38" s="185"/>
      <c r="C38" s="185"/>
      <c r="D38" s="185"/>
      <c r="E38" s="185"/>
      <c r="F38" s="185"/>
      <c r="G38" s="185"/>
      <c r="H38" s="185"/>
      <c r="I38" s="185"/>
      <c r="J38" s="185"/>
      <c r="K38" s="185"/>
      <c r="L38" s="185"/>
      <c r="M38" s="185"/>
      <c r="N38" s="185"/>
      <c r="O38" s="185"/>
      <c r="P38" s="185"/>
      <c r="Q38" s="185"/>
      <c r="R38" s="185"/>
      <c r="S38" s="185"/>
      <c r="T38" s="185"/>
      <c r="U38" s="186"/>
    </row>
    <row r="39" spans="1:21" x14ac:dyDescent="0.25">
      <c r="A39" s="183"/>
      <c r="B39" s="185"/>
      <c r="C39" s="185"/>
      <c r="D39" s="185"/>
      <c r="E39" s="185"/>
      <c r="F39" s="185"/>
      <c r="G39" s="185"/>
      <c r="H39" s="185"/>
      <c r="I39" s="185"/>
      <c r="J39" s="185"/>
      <c r="K39" s="185"/>
      <c r="L39" s="185"/>
      <c r="M39" s="185"/>
      <c r="N39" s="185"/>
      <c r="O39" s="185"/>
      <c r="P39" s="185"/>
      <c r="Q39" s="185"/>
      <c r="R39" s="185"/>
      <c r="S39" s="185"/>
      <c r="T39" s="185"/>
      <c r="U39" s="186"/>
    </row>
    <row r="40" spans="1:21" ht="15.75" thickBot="1" x14ac:dyDescent="0.3">
      <c r="A40" s="207"/>
      <c r="B40" s="208"/>
      <c r="C40" s="208"/>
      <c r="D40" s="208"/>
      <c r="E40" s="208"/>
      <c r="F40" s="208"/>
      <c r="G40" s="208"/>
      <c r="H40" s="208"/>
      <c r="I40" s="208"/>
      <c r="J40" s="208"/>
      <c r="K40" s="208"/>
      <c r="L40" s="208"/>
      <c r="M40" s="208"/>
      <c r="N40" s="208"/>
      <c r="O40" s="208"/>
      <c r="P40" s="208"/>
      <c r="Q40" s="208"/>
      <c r="R40" s="208"/>
      <c r="S40" s="208"/>
      <c r="T40" s="208"/>
      <c r="U40" s="213"/>
    </row>
    <row r="44" spans="1:21" ht="15.75" thickBot="1" x14ac:dyDescent="0.3"/>
    <row r="45" spans="1:21" ht="21" x14ac:dyDescent="0.35">
      <c r="B45" s="410" t="s">
        <v>227</v>
      </c>
      <c r="C45" s="411"/>
      <c r="D45" s="411"/>
      <c r="E45" s="412"/>
    </row>
    <row r="46" spans="1:21" x14ac:dyDescent="0.25">
      <c r="B46" s="221" t="s">
        <v>0</v>
      </c>
      <c r="C46" s="220" t="s">
        <v>99</v>
      </c>
      <c r="D46" s="383" t="s">
        <v>4</v>
      </c>
      <c r="E46" s="384"/>
    </row>
    <row r="47" spans="1:21" x14ac:dyDescent="0.25">
      <c r="B47" s="33" t="s">
        <v>100</v>
      </c>
      <c r="C47" s="31">
        <v>64.989999999999995</v>
      </c>
      <c r="D47" s="381" t="s">
        <v>231</v>
      </c>
      <c r="E47" s="382"/>
    </row>
    <row r="48" spans="1:21" x14ac:dyDescent="0.25">
      <c r="B48" s="33" t="s">
        <v>101</v>
      </c>
      <c r="C48" s="31">
        <v>4.59</v>
      </c>
      <c r="D48" s="357" t="s">
        <v>213</v>
      </c>
      <c r="E48" s="358"/>
    </row>
    <row r="49" spans="2:15" x14ac:dyDescent="0.25">
      <c r="B49" s="33" t="s">
        <v>102</v>
      </c>
      <c r="C49" s="31">
        <v>1.8</v>
      </c>
      <c r="D49" s="357" t="s">
        <v>213</v>
      </c>
      <c r="E49" s="358"/>
    </row>
    <row r="50" spans="2:15" x14ac:dyDescent="0.25">
      <c r="B50" s="33" t="s">
        <v>256</v>
      </c>
      <c r="C50" s="253" t="s">
        <v>257</v>
      </c>
      <c r="D50" s="422" t="s">
        <v>258</v>
      </c>
      <c r="E50" s="419"/>
    </row>
    <row r="51" spans="2:15" x14ac:dyDescent="0.25">
      <c r="B51" s="33" t="s">
        <v>261</v>
      </c>
      <c r="C51" s="31">
        <v>25</v>
      </c>
      <c r="D51" s="418" t="s">
        <v>262</v>
      </c>
      <c r="E51" s="419"/>
    </row>
    <row r="52" spans="2:15" x14ac:dyDescent="0.25">
      <c r="B52" s="33" t="s">
        <v>104</v>
      </c>
      <c r="C52" s="31">
        <v>199</v>
      </c>
      <c r="D52" s="357" t="s">
        <v>230</v>
      </c>
      <c r="E52" s="358"/>
      <c r="I52" s="93"/>
      <c r="J52" s="14"/>
      <c r="K52" s="14"/>
      <c r="L52" s="3"/>
      <c r="M52" s="3"/>
      <c r="N52" s="15"/>
      <c r="O52" s="15"/>
    </row>
    <row r="53" spans="2:15" x14ac:dyDescent="0.25">
      <c r="B53" s="33" t="s">
        <v>228</v>
      </c>
      <c r="C53" s="253">
        <v>615</v>
      </c>
      <c r="D53" s="357" t="s">
        <v>229</v>
      </c>
      <c r="E53" s="358"/>
      <c r="I53" s="3"/>
      <c r="K53" s="54"/>
      <c r="L53" s="14"/>
      <c r="M53" s="30"/>
      <c r="N53" s="14"/>
      <c r="O53" s="30"/>
    </row>
    <row r="54" spans="2:15" x14ac:dyDescent="0.25">
      <c r="B54" s="33" t="s">
        <v>259</v>
      </c>
      <c r="C54" s="31">
        <v>104.96</v>
      </c>
      <c r="D54" s="357" t="s">
        <v>222</v>
      </c>
      <c r="E54" s="358"/>
      <c r="I54" s="3"/>
      <c r="K54" s="109"/>
      <c r="L54" s="14"/>
      <c r="M54" s="110"/>
      <c r="N54" s="14"/>
      <c r="O54" s="15"/>
    </row>
    <row r="55" spans="2:15" x14ac:dyDescent="0.25">
      <c r="B55" s="33" t="s">
        <v>152</v>
      </c>
      <c r="C55" s="31">
        <v>69.989999999999995</v>
      </c>
      <c r="D55" s="416" t="s">
        <v>260</v>
      </c>
      <c r="E55" s="417"/>
      <c r="I55" s="93"/>
      <c r="K55" s="14"/>
      <c r="L55" s="3"/>
      <c r="M55" s="30"/>
      <c r="N55" s="15"/>
      <c r="O55" s="16"/>
    </row>
    <row r="56" spans="2:15" ht="14.65" customHeight="1" x14ac:dyDescent="0.25">
      <c r="B56" s="259" t="s">
        <v>165</v>
      </c>
      <c r="C56" s="223"/>
      <c r="D56" s="223"/>
      <c r="E56" s="224"/>
    </row>
    <row r="57" spans="2:15" x14ac:dyDescent="0.25">
      <c r="B57" s="369" t="s">
        <v>239</v>
      </c>
      <c r="C57" s="370"/>
      <c r="D57" s="370"/>
      <c r="E57" s="371"/>
    </row>
    <row r="58" spans="2:15" x14ac:dyDescent="0.25">
      <c r="B58" s="366" t="s">
        <v>240</v>
      </c>
      <c r="C58" s="367"/>
      <c r="D58" s="367"/>
      <c r="E58" s="368"/>
    </row>
    <row r="59" spans="2:15" ht="15.75" thickBot="1" x14ac:dyDescent="0.3">
      <c r="B59" s="407" t="s">
        <v>241</v>
      </c>
      <c r="C59" s="420"/>
      <c r="D59" s="420"/>
      <c r="E59" s="421"/>
    </row>
    <row r="85" spans="4:12" ht="14.65" customHeight="1" x14ac:dyDescent="0.25"/>
    <row r="87" spans="4:12" x14ac:dyDescent="0.25">
      <c r="E87" s="31"/>
    </row>
    <row r="88" spans="4:12" x14ac:dyDescent="0.25">
      <c r="E88" s="31"/>
      <c r="J88" s="359"/>
      <c r="K88" s="359"/>
      <c r="L88" s="359"/>
    </row>
    <row r="89" spans="4:12" x14ac:dyDescent="0.25">
      <c r="E89" s="31"/>
      <c r="J89" s="359"/>
      <c r="K89" s="359"/>
      <c r="L89" s="359"/>
    </row>
    <row r="90" spans="4:12" x14ac:dyDescent="0.25">
      <c r="E90" s="31"/>
    </row>
    <row r="91" spans="4:12" x14ac:dyDescent="0.25">
      <c r="E91" s="31"/>
    </row>
    <row r="92" spans="4:12" x14ac:dyDescent="0.25">
      <c r="E92" s="31"/>
    </row>
    <row r="93" spans="4:12" x14ac:dyDescent="0.25">
      <c r="E93" s="31"/>
    </row>
    <row r="94" spans="4:12" x14ac:dyDescent="0.25">
      <c r="E94" s="31"/>
    </row>
    <row r="95" spans="4:12" x14ac:dyDescent="0.25">
      <c r="D95" s="31"/>
      <c r="E95" s="31"/>
    </row>
    <row r="97" spans="2:8" x14ac:dyDescent="0.25">
      <c r="D97" s="31"/>
      <c r="E97" s="31"/>
    </row>
    <row r="99" spans="2:8" ht="18.75" x14ac:dyDescent="0.3">
      <c r="B99" s="413"/>
      <c r="C99" s="413"/>
      <c r="D99" s="413"/>
      <c r="E99" s="413"/>
      <c r="F99" s="413"/>
      <c r="G99" s="413"/>
      <c r="H99" s="90"/>
    </row>
    <row r="100" spans="2:8" ht="18.75" x14ac:dyDescent="0.25">
      <c r="B100" s="90"/>
      <c r="C100" s="3"/>
      <c r="D100" s="3"/>
      <c r="E100" s="3"/>
      <c r="G100" s="3"/>
      <c r="H100" s="3"/>
    </row>
    <row r="101" spans="2:8" x14ac:dyDescent="0.25">
      <c r="B101" s="17"/>
      <c r="C101" s="14"/>
      <c r="D101" s="14"/>
      <c r="E101" s="3"/>
      <c r="G101" s="3"/>
      <c r="H101" s="3"/>
    </row>
    <row r="102" spans="2:8" x14ac:dyDescent="0.25">
      <c r="B102" s="105"/>
      <c r="C102" s="91"/>
      <c r="D102" s="91"/>
      <c r="E102" s="106"/>
      <c r="F102" s="267"/>
      <c r="G102" s="107"/>
      <c r="H102" s="107"/>
    </row>
    <row r="103" spans="2:8" x14ac:dyDescent="0.25">
      <c r="B103" s="3"/>
      <c r="C103" s="14"/>
      <c r="D103" s="30"/>
      <c r="E103" s="14"/>
      <c r="F103" s="108"/>
      <c r="G103" s="108"/>
      <c r="H103" s="108"/>
    </row>
    <row r="104" spans="2:8" x14ac:dyDescent="0.25">
      <c r="B104" s="108"/>
      <c r="C104" s="14"/>
      <c r="D104" s="30"/>
      <c r="E104" s="14"/>
      <c r="F104" s="104"/>
      <c r="G104" s="97"/>
      <c r="H104" s="268"/>
    </row>
    <row r="105" spans="2:8" x14ac:dyDescent="0.25">
      <c r="B105" s="108"/>
      <c r="C105" s="97"/>
      <c r="D105" s="30"/>
      <c r="E105" s="97"/>
      <c r="F105" s="104"/>
      <c r="G105" s="97"/>
      <c r="H105" s="268"/>
    </row>
    <row r="106" spans="2:8" x14ac:dyDescent="0.25">
      <c r="B106" s="108"/>
      <c r="C106" s="14"/>
      <c r="D106" s="30"/>
      <c r="E106" s="14"/>
      <c r="F106" s="104"/>
      <c r="G106" s="97"/>
      <c r="H106" s="268"/>
    </row>
    <row r="107" spans="2:8" x14ac:dyDescent="0.25">
      <c r="B107" s="3"/>
      <c r="C107" s="14"/>
      <c r="D107" s="30"/>
      <c r="E107" s="14"/>
      <c r="F107" s="104"/>
      <c r="G107" s="97"/>
      <c r="H107" s="268"/>
    </row>
    <row r="108" spans="2:8" x14ac:dyDescent="0.25">
      <c r="B108" s="3"/>
      <c r="C108" s="14"/>
      <c r="D108" s="30"/>
      <c r="E108" s="14"/>
      <c r="F108" s="104"/>
      <c r="G108" s="97"/>
      <c r="H108" s="268"/>
    </row>
    <row r="109" spans="2:8" x14ac:dyDescent="0.25">
      <c r="B109" s="3"/>
      <c r="C109" s="14"/>
      <c r="D109" s="30"/>
      <c r="E109" s="14"/>
      <c r="F109" s="104"/>
      <c r="G109" s="97"/>
      <c r="H109" s="268"/>
    </row>
    <row r="110" spans="2:8" x14ac:dyDescent="0.25">
      <c r="B110" s="108"/>
      <c r="C110" s="14"/>
      <c r="D110" s="104"/>
      <c r="E110" s="97"/>
      <c r="F110" s="104"/>
      <c r="G110" s="97"/>
      <c r="H110" s="268"/>
    </row>
    <row r="111" spans="2:8" x14ac:dyDescent="0.25">
      <c r="B111" s="3"/>
      <c r="C111" s="14"/>
      <c r="D111" s="30"/>
      <c r="E111" s="14"/>
      <c r="F111" s="104"/>
      <c r="G111" s="97"/>
      <c r="H111" s="268"/>
    </row>
    <row r="112" spans="2:8" x14ac:dyDescent="0.25">
      <c r="B112" s="3"/>
      <c r="C112" s="14"/>
      <c r="D112" s="30"/>
      <c r="E112" s="14"/>
      <c r="F112" s="104"/>
      <c r="G112" s="97"/>
      <c r="H112" s="268"/>
    </row>
    <row r="113" spans="2:15" ht="18.75" x14ac:dyDescent="0.25">
      <c r="B113" s="108"/>
      <c r="C113" s="14"/>
      <c r="D113" s="104"/>
      <c r="E113" s="97"/>
      <c r="F113" s="104"/>
      <c r="G113" s="97"/>
      <c r="H113" s="104"/>
      <c r="I113" s="90"/>
      <c r="J113" s="90"/>
      <c r="K113" s="90"/>
      <c r="L113" s="90"/>
      <c r="M113" s="90"/>
      <c r="N113" s="90"/>
      <c r="O113" s="90"/>
    </row>
    <row r="114" spans="2:15" ht="18.75" x14ac:dyDescent="0.25">
      <c r="B114" s="93"/>
      <c r="C114" s="14"/>
      <c r="D114" s="14"/>
      <c r="E114" s="3"/>
      <c r="F114" s="108"/>
      <c r="G114" s="15"/>
      <c r="H114" s="16"/>
      <c r="I114" s="90"/>
      <c r="J114" s="3"/>
      <c r="K114" s="3"/>
      <c r="L114" s="3"/>
      <c r="M114" s="3"/>
      <c r="N114" s="3"/>
      <c r="O114" s="3"/>
    </row>
    <row r="115" spans="2:15" x14ac:dyDescent="0.25">
      <c r="B115" s="93"/>
      <c r="C115" s="14"/>
      <c r="D115" s="14"/>
      <c r="E115" s="3"/>
      <c r="F115" s="108"/>
      <c r="G115" s="15"/>
      <c r="H115" s="15"/>
      <c r="I115" s="17"/>
      <c r="J115" s="14"/>
      <c r="K115" s="14"/>
      <c r="L115" s="3"/>
      <c r="M115" s="3"/>
      <c r="N115" s="3"/>
      <c r="O115" s="3"/>
    </row>
    <row r="116" spans="2:15" x14ac:dyDescent="0.25">
      <c r="B116" s="3"/>
      <c r="C116" s="14"/>
      <c r="D116" s="54"/>
      <c r="E116" s="14"/>
      <c r="F116" s="104"/>
      <c r="G116" s="14"/>
      <c r="H116" s="30"/>
      <c r="I116" s="105"/>
      <c r="J116" s="91"/>
      <c r="K116" s="91"/>
      <c r="L116" s="106"/>
      <c r="M116" s="106"/>
      <c r="N116" s="107"/>
      <c r="O116" s="107"/>
    </row>
    <row r="117" spans="2:15" x14ac:dyDescent="0.25">
      <c r="B117" s="108"/>
      <c r="C117" s="97"/>
      <c r="D117" s="158"/>
      <c r="E117" s="97"/>
      <c r="F117" s="104"/>
      <c r="G117" s="97"/>
      <c r="H117" s="104"/>
      <c r="I117" s="3"/>
      <c r="J117" s="14"/>
      <c r="K117" s="30"/>
      <c r="L117" s="14"/>
      <c r="M117" s="14"/>
      <c r="N117" s="108"/>
      <c r="O117" s="108"/>
    </row>
    <row r="118" spans="2:15" x14ac:dyDescent="0.25">
      <c r="B118" s="93"/>
      <c r="C118" s="14"/>
      <c r="D118" s="14"/>
      <c r="E118" s="3"/>
      <c r="F118" s="108"/>
      <c r="G118" s="15"/>
      <c r="H118" s="16"/>
      <c r="I118" s="108"/>
      <c r="J118" s="14"/>
      <c r="K118" s="30"/>
      <c r="L118" s="14"/>
      <c r="M118" s="54"/>
      <c r="N118" s="97"/>
      <c r="O118" s="113"/>
    </row>
    <row r="119" spans="2:15" x14ac:dyDescent="0.25">
      <c r="B119" s="93"/>
      <c r="C119" s="14"/>
      <c r="D119" s="14"/>
      <c r="E119" s="3"/>
      <c r="F119" s="108"/>
      <c r="G119" s="3"/>
      <c r="H119" s="3"/>
      <c r="I119" s="108"/>
      <c r="J119" s="97"/>
      <c r="K119" s="30"/>
      <c r="L119" s="97"/>
      <c r="M119" s="54"/>
      <c r="N119" s="97"/>
      <c r="O119" s="113"/>
    </row>
    <row r="120" spans="2:15" x14ac:dyDescent="0.25">
      <c r="B120" s="3"/>
      <c r="C120" s="14"/>
      <c r="D120" s="159"/>
      <c r="E120" s="14"/>
      <c r="F120" s="122"/>
      <c r="G120" s="14"/>
      <c r="H120" s="30"/>
      <c r="I120" s="108"/>
      <c r="J120" s="14"/>
      <c r="K120" s="30"/>
      <c r="L120" s="14"/>
      <c r="M120" s="54"/>
      <c r="N120" s="97"/>
      <c r="O120" s="113"/>
    </row>
    <row r="121" spans="2:15" x14ac:dyDescent="0.25">
      <c r="B121" s="108"/>
      <c r="C121" s="97"/>
      <c r="D121" s="160"/>
      <c r="E121" s="97"/>
      <c r="F121" s="122"/>
      <c r="G121" s="97"/>
      <c r="H121" s="104"/>
      <c r="I121" s="108"/>
      <c r="J121" s="14"/>
      <c r="K121" s="30"/>
      <c r="L121" s="14"/>
      <c r="M121" s="54"/>
      <c r="N121" s="97"/>
      <c r="O121" s="113"/>
    </row>
    <row r="122" spans="2:15" x14ac:dyDescent="0.25">
      <c r="B122" s="108"/>
      <c r="C122" s="97"/>
      <c r="D122" s="160"/>
      <c r="E122" s="97"/>
      <c r="F122" s="122"/>
      <c r="G122" s="97"/>
      <c r="H122" s="122"/>
      <c r="I122" s="3"/>
      <c r="J122" s="14"/>
      <c r="K122" s="30"/>
      <c r="L122" s="14"/>
      <c r="M122" s="54"/>
      <c r="N122" s="97"/>
      <c r="O122" s="113"/>
    </row>
    <row r="123" spans="2:15" x14ac:dyDescent="0.25">
      <c r="B123" s="14"/>
      <c r="C123" s="14"/>
      <c r="D123" s="14"/>
      <c r="E123" s="3"/>
      <c r="F123" s="108"/>
      <c r="G123" s="15"/>
      <c r="H123" s="16"/>
      <c r="I123" s="3"/>
      <c r="J123" s="14"/>
      <c r="K123" s="30"/>
      <c r="L123" s="14"/>
      <c r="M123" s="54"/>
      <c r="N123" s="97"/>
      <c r="O123" s="113"/>
    </row>
    <row r="124" spans="2:15" x14ac:dyDescent="0.25">
      <c r="B124" s="108"/>
      <c r="C124" s="108"/>
      <c r="D124" s="108"/>
      <c r="E124" s="108"/>
      <c r="F124" s="108"/>
      <c r="G124" s="108"/>
      <c r="H124" s="268"/>
      <c r="I124" s="93"/>
      <c r="J124" s="14"/>
      <c r="K124" s="14"/>
      <c r="L124" s="3"/>
      <c r="M124" s="30"/>
      <c r="N124" s="15"/>
      <c r="O124" s="114"/>
    </row>
    <row r="125" spans="2:15" x14ac:dyDescent="0.25">
      <c r="B125" s="111"/>
      <c r="C125" s="108"/>
      <c r="D125" s="108"/>
      <c r="E125" s="108"/>
      <c r="F125" s="108"/>
      <c r="G125" s="108"/>
      <c r="H125" s="112"/>
      <c r="I125" s="93"/>
      <c r="J125" s="14"/>
      <c r="K125" s="14"/>
      <c r="L125" s="3"/>
      <c r="M125" s="3"/>
      <c r="N125" s="15"/>
      <c r="O125" s="15"/>
    </row>
    <row r="126" spans="2:15" x14ac:dyDescent="0.25">
      <c r="I126" s="3"/>
      <c r="J126" s="14"/>
      <c r="K126" s="54"/>
      <c r="L126" s="14"/>
      <c r="M126" s="30"/>
      <c r="N126" s="14"/>
      <c r="O126" s="30"/>
    </row>
    <row r="127" spans="2:15" x14ac:dyDescent="0.25">
      <c r="I127" s="3"/>
      <c r="J127" s="14"/>
      <c r="K127" s="109"/>
      <c r="L127" s="14"/>
      <c r="M127" s="30"/>
      <c r="N127" s="14"/>
      <c r="O127" s="30"/>
    </row>
    <row r="128" spans="2:15" x14ac:dyDescent="0.25">
      <c r="I128" s="93"/>
      <c r="J128" s="14"/>
      <c r="K128" s="14"/>
      <c r="L128" s="3"/>
      <c r="M128" s="30"/>
      <c r="N128" s="15"/>
      <c r="O128" s="115"/>
    </row>
    <row r="129" spans="9:15" x14ac:dyDescent="0.25">
      <c r="I129" s="93"/>
      <c r="J129" s="14"/>
      <c r="K129" s="14"/>
      <c r="L129" s="3"/>
      <c r="M129" s="3"/>
      <c r="N129" s="3"/>
      <c r="O129" s="3"/>
    </row>
    <row r="130" spans="9:15" x14ac:dyDescent="0.25">
      <c r="I130" s="3"/>
      <c r="J130" s="14"/>
      <c r="K130" s="99"/>
      <c r="L130" s="14"/>
      <c r="M130" s="54"/>
      <c r="N130" s="98"/>
      <c r="O130" s="110"/>
    </row>
    <row r="131" spans="9:15" x14ac:dyDescent="0.25">
      <c r="I131" s="108"/>
      <c r="J131" s="97"/>
      <c r="K131" s="116"/>
      <c r="L131" s="97"/>
      <c r="M131" s="54"/>
      <c r="N131" s="97"/>
      <c r="O131" s="104"/>
    </row>
    <row r="132" spans="9:15" x14ac:dyDescent="0.25">
      <c r="I132" s="14"/>
      <c r="J132" s="14"/>
      <c r="K132" s="14"/>
      <c r="L132" s="3"/>
      <c r="M132" s="30"/>
      <c r="N132" s="15"/>
      <c r="O132" s="16"/>
    </row>
    <row r="133" spans="9:15" x14ac:dyDescent="0.25">
      <c r="I133" s="111"/>
      <c r="J133" s="108"/>
      <c r="K133" s="108"/>
      <c r="L133" s="108"/>
      <c r="M133" s="108"/>
      <c r="N133" s="108"/>
      <c r="O133" s="112"/>
    </row>
    <row r="134" spans="9:15" x14ac:dyDescent="0.25">
      <c r="I134" s="2"/>
    </row>
  </sheetData>
  <mergeCells count="25">
    <mergeCell ref="A1:U1"/>
    <mergeCell ref="D53:E53"/>
    <mergeCell ref="D52:E52"/>
    <mergeCell ref="D50:E50"/>
    <mergeCell ref="D49:E49"/>
    <mergeCell ref="D48:E48"/>
    <mergeCell ref="B3:E3"/>
    <mergeCell ref="B4:E4"/>
    <mergeCell ref="B5:E5"/>
    <mergeCell ref="B6:E6"/>
    <mergeCell ref="B7:E7"/>
    <mergeCell ref="B99:G99"/>
    <mergeCell ref="J88:L88"/>
    <mergeCell ref="J89:L89"/>
    <mergeCell ref="J10:O10"/>
    <mergeCell ref="B10:G10"/>
    <mergeCell ref="B45:E45"/>
    <mergeCell ref="D46:E46"/>
    <mergeCell ref="D47:E47"/>
    <mergeCell ref="D55:E55"/>
    <mergeCell ref="D54:E54"/>
    <mergeCell ref="D51:E51"/>
    <mergeCell ref="B59:E59"/>
    <mergeCell ref="B58:E58"/>
    <mergeCell ref="B57:E57"/>
  </mergeCells>
  <hyperlinks>
    <hyperlink ref="D48" r:id="rId1" display="https://www.tractorsupply.com/tsc/product/studded-t-post-6-ft-125-lb-per-foot" xr:uid="{9B094B67-93E9-435E-A794-58D09307BB6D}"/>
    <hyperlink ref="D49" r:id="rId2" display="https://www.tractorsupply.com/tsc/product/non-climb-horse-fence-48-in-x-100-ft" xr:uid="{17010D87-4F17-4AB9-A1F9-4C702F812F7C}"/>
    <hyperlink ref="D47" r:id="rId3" display="https://www.agriculturesolutions.com/agtec-heavy-duty-fast-response-compost-thermometer-36in-0-200-f" xr:uid="{01D74FB2-A39D-41CA-A77C-CA5873DBC3B0}"/>
    <hyperlink ref="D52" r:id="rId4" display="https://www.myteeproducts.com/portable-hay-moisture-tester-with-calibration-clip.html?fee=4&amp;fep=316&amp;msclkid=8881e5c7637b11d90b8682e5a665e1ba&amp;utm_source=bing&amp;utm_medium=cpc&amp;utm_campaign=STD%3A%20FS%20-%20Moisture%20Tester%20-%20AT%20-%20AS&amp;utm_term=4582695812816743&amp;utm_content=AT" xr:uid="{F82D4E4D-E2E3-4CBA-AAC3-615B37905CAC}"/>
    <hyperlink ref="D53" r:id="rId5" display="https://48barriers.com/products/10-used-concrete-jersey-barrier/" xr:uid="{50DB1515-FA97-46E1-94BA-E4185DF8435A}"/>
    <hyperlink ref="D54" r:id="rId6" display="https://www.homedepot.com/p/Gorilla-ToughLite-5-8-in-x-100-ft-Heavy-Duty-Garden-Hose-HYB55800/325990190" xr:uid="{1FCC21E3-260B-4FBE-8F40-C24C53F32153}"/>
    <hyperlink ref="B57" r:id="rId7" display="https://extension.okstate.edu/fact-sheets/on-farm-mortality-composting-of-livestock-carcasses.html" xr:uid="{14E8EE63-C61B-433C-A792-C726AF930427}"/>
    <hyperlink ref="B58" r:id="rId8" display="https://www.sare.org/wp-content/uploads/CompostingManual-final-webview.pdf" xr:uid="{57BEC9A1-8417-4A58-9A45-FCA1BB59B54A}"/>
    <hyperlink ref="B59" r:id="rId9" display="https://flsart.org/acmwg/carcass_disposal_guidance/Composting%20Animal%20Mortalities%20Manual.pdf" xr:uid="{423DE4D8-549F-4CF7-ADA1-9BFC3FA548C5}"/>
    <hyperlink ref="D50" r:id="rId10" display="https://homeguide.com/costs/concrete-slab-cost" xr:uid="{B6539B94-3833-46A1-A45D-14A050609E2B}"/>
    <hyperlink ref="D55" r:id="rId11" display="https://www.tractorsupply.com/tsc/product/rain-bird-electronic-garden-hose-watering-timer-1zehtmr" xr:uid="{06F87CB2-FC3F-4A2D-A3FF-0AE70DE49B23}"/>
  </hyperlinks>
  <pageMargins left="0.7" right="0.7" top="0.75" bottom="0.75" header="0.3" footer="0.3"/>
  <pageSetup orientation="portrait" r:id="rId12"/>
  <ignoredErrors>
    <ignoredError sqref="F18 H22" formula="1"/>
  </ignoredErrors>
  <drawing r:id="rId13"/>
  <extLst>
    <ext xmlns:x14="http://schemas.microsoft.com/office/spreadsheetml/2009/9/main" uri="{CCE6A557-97BC-4b89-ADB6-D9C93CAAB3DF}">
      <x14:dataValidations xmlns:xm="http://schemas.microsoft.com/office/excel/2006/main" count="2">
        <x14:dataValidation type="list" allowBlank="1" showInputMessage="1" showErrorMessage="1" xr:uid="{83AAB82B-D24A-408E-87BC-B8E69E10ABC4}">
          <x14:formula1>
            <xm:f>List!$B$2:$B$9</xm:f>
          </x14:formula1>
          <xm:sqref>H4</xm:sqref>
        </x14:dataValidation>
        <x14:dataValidation type="list" allowBlank="1" showInputMessage="1" showErrorMessage="1" xr:uid="{2A9FEE66-8C59-4E7F-8093-DC8DA69B4864}">
          <x14:formula1>
            <xm:f>List!$D$2:$D$21</xm:f>
          </x14:formula1>
          <xm:sqref>F4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AB30F-9623-4CE4-AF4F-0A91C3D17556}">
  <sheetPr>
    <tabColor theme="9" tint="0.59999389629810485"/>
  </sheetPr>
  <dimension ref="A1:T86"/>
  <sheetViews>
    <sheetView tabSelected="1" topLeftCell="A10" zoomScale="65" zoomScaleNormal="70" workbookViewId="0">
      <selection activeCell="M27" sqref="M27"/>
    </sheetView>
  </sheetViews>
  <sheetFormatPr defaultRowHeight="15" x14ac:dyDescent="0.25"/>
  <cols>
    <col min="1" max="1" width="14.85546875" customWidth="1"/>
    <col min="2" max="2" width="26.140625" customWidth="1"/>
    <col min="3" max="3" width="9.85546875" customWidth="1"/>
    <col min="4" max="4" width="10.140625" customWidth="1"/>
    <col min="5" max="5" width="9.7109375" customWidth="1"/>
    <col min="7" max="7" width="9.5703125" customWidth="1"/>
    <col min="8" max="8" width="12.28515625" customWidth="1"/>
    <col min="10" max="14" width="8.85546875" customWidth="1"/>
    <col min="19" max="19" width="8.85546875" customWidth="1"/>
    <col min="22" max="22" width="8.85546875" customWidth="1"/>
  </cols>
  <sheetData>
    <row r="1" spans="1:11" ht="30" customHeight="1" x14ac:dyDescent="0.25">
      <c r="A1" s="372" t="s">
        <v>163</v>
      </c>
      <c r="B1" s="423"/>
      <c r="C1" s="423"/>
      <c r="D1" s="423"/>
      <c r="E1" s="423"/>
      <c r="F1" s="423"/>
      <c r="G1" s="423"/>
      <c r="H1" s="423"/>
      <c r="I1" s="423"/>
      <c r="J1" s="423"/>
      <c r="K1" s="424"/>
    </row>
    <row r="2" spans="1:11" ht="18.75" x14ac:dyDescent="0.3">
      <c r="A2" s="185"/>
      <c r="B2" s="184" t="s">
        <v>166</v>
      </c>
      <c r="C2" s="185"/>
      <c r="D2" s="185"/>
      <c r="E2" s="185"/>
      <c r="F2" s="185"/>
      <c r="G2" s="185"/>
      <c r="H2" s="179" t="s">
        <v>173</v>
      </c>
      <c r="I2" s="185"/>
      <c r="J2" s="185"/>
      <c r="K2" s="186"/>
    </row>
    <row r="3" spans="1:11" x14ac:dyDescent="0.25">
      <c r="A3" s="185"/>
      <c r="B3" s="387" t="s">
        <v>278</v>
      </c>
      <c r="C3" s="387"/>
      <c r="D3" s="387"/>
      <c r="E3" s="166">
        <v>1</v>
      </c>
      <c r="G3" s="185"/>
      <c r="H3" s="166">
        <v>0.04</v>
      </c>
      <c r="I3" s="185"/>
      <c r="J3" s="185"/>
      <c r="K3" s="186"/>
    </row>
    <row r="4" spans="1:11" ht="15.75" thickBot="1" x14ac:dyDescent="0.3">
      <c r="A4" s="183"/>
      <c r="B4" s="185"/>
      <c r="C4" s="185"/>
      <c r="D4" s="185"/>
      <c r="E4" s="185"/>
      <c r="F4" s="185"/>
      <c r="G4" s="185"/>
      <c r="H4" s="185"/>
      <c r="I4" s="185"/>
      <c r="J4" s="185"/>
      <c r="K4" s="186"/>
    </row>
    <row r="5" spans="1:11" ht="19.5" thickBot="1" x14ac:dyDescent="0.3">
      <c r="A5" s="183"/>
      <c r="B5" s="425" t="s">
        <v>149</v>
      </c>
      <c r="C5" s="426"/>
      <c r="D5" s="426"/>
      <c r="E5" s="426"/>
      <c r="F5" s="426"/>
      <c r="G5" s="426"/>
      <c r="H5" s="27">
        <v>2025</v>
      </c>
      <c r="I5" s="185"/>
      <c r="J5" s="185"/>
      <c r="K5" s="186"/>
    </row>
    <row r="6" spans="1:11" ht="18.75" x14ac:dyDescent="0.25">
      <c r="A6" s="183"/>
      <c r="B6" s="19" t="s">
        <v>126</v>
      </c>
      <c r="C6" s="3"/>
      <c r="D6" s="3"/>
      <c r="E6" s="3"/>
      <c r="F6" s="3"/>
      <c r="G6" s="3"/>
      <c r="H6" s="20"/>
      <c r="I6" s="185"/>
      <c r="J6" s="185"/>
      <c r="K6" s="186"/>
    </row>
    <row r="7" spans="1:11" x14ac:dyDescent="0.25">
      <c r="A7" s="183"/>
      <c r="B7" s="21" t="s">
        <v>8</v>
      </c>
      <c r="C7" s="22"/>
      <c r="D7" s="22"/>
      <c r="E7" s="23"/>
      <c r="F7" s="23"/>
      <c r="G7" s="23"/>
      <c r="H7" s="24"/>
      <c r="I7" s="185"/>
      <c r="J7" s="185"/>
      <c r="K7" s="186"/>
    </row>
    <row r="8" spans="1:11" ht="45.75" thickBot="1" x14ac:dyDescent="0.3">
      <c r="A8" s="183"/>
      <c r="B8" s="50" t="s">
        <v>90</v>
      </c>
      <c r="C8" s="5" t="s">
        <v>10</v>
      </c>
      <c r="D8" s="5" t="s">
        <v>11</v>
      </c>
      <c r="E8" s="5" t="s">
        <v>12</v>
      </c>
      <c r="F8" s="5" t="s">
        <v>127</v>
      </c>
      <c r="G8" s="52" t="s">
        <v>13</v>
      </c>
      <c r="H8" s="53" t="s">
        <v>128</v>
      </c>
      <c r="I8" s="185"/>
      <c r="J8" s="185"/>
      <c r="K8" s="186"/>
    </row>
    <row r="9" spans="1:11" x14ac:dyDescent="0.25">
      <c r="A9" s="183"/>
      <c r="B9" s="35" t="s">
        <v>16</v>
      </c>
      <c r="C9" s="41"/>
      <c r="D9" s="42"/>
      <c r="E9" s="41"/>
      <c r="F9" s="40"/>
      <c r="G9" s="43"/>
      <c r="H9" s="44"/>
      <c r="I9" s="185"/>
      <c r="J9" s="185"/>
      <c r="K9" s="186"/>
    </row>
    <row r="10" spans="1:11" x14ac:dyDescent="0.25">
      <c r="A10" s="183"/>
      <c r="B10" s="25" t="s">
        <v>130</v>
      </c>
      <c r="C10" s="14" t="s">
        <v>131</v>
      </c>
      <c r="D10" s="54">
        <f>655+446</f>
        <v>1101</v>
      </c>
      <c r="E10" s="14">
        <f>1*$E$3</f>
        <v>1</v>
      </c>
      <c r="F10" s="30">
        <f>D10*E10</f>
        <v>1101</v>
      </c>
      <c r="G10" s="97">
        <v>6</v>
      </c>
      <c r="H10" s="83">
        <f>PMT($H$3,G10,F10)*-1</f>
        <v>210.02885466125738</v>
      </c>
      <c r="I10" s="185"/>
      <c r="J10" s="185"/>
      <c r="K10" s="186"/>
    </row>
    <row r="11" spans="1:11" x14ac:dyDescent="0.25">
      <c r="A11" s="183"/>
      <c r="B11" s="25" t="s">
        <v>133</v>
      </c>
      <c r="C11" s="14" t="s">
        <v>134</v>
      </c>
      <c r="D11" s="54">
        <v>300</v>
      </c>
      <c r="E11" s="14">
        <f>1*$E$3</f>
        <v>1</v>
      </c>
      <c r="F11" s="30">
        <f t="shared" ref="F11:F12" si="0">D11*E11</f>
        <v>300</v>
      </c>
      <c r="G11" s="97">
        <v>8</v>
      </c>
      <c r="H11" s="83">
        <f>PMT($H$3,G11,F11)*-1</f>
        <v>44.558349614013878</v>
      </c>
      <c r="I11" s="185"/>
      <c r="J11" s="185"/>
      <c r="K11" s="186"/>
    </row>
    <row r="12" spans="1:11" x14ac:dyDescent="0.25">
      <c r="A12" s="183"/>
      <c r="B12" s="25" t="s">
        <v>132</v>
      </c>
      <c r="C12" s="14" t="s">
        <v>135</v>
      </c>
      <c r="D12" s="80">
        <v>1.67</v>
      </c>
      <c r="E12" s="127">
        <f>686.2*$E$3</f>
        <v>686.2</v>
      </c>
      <c r="F12" s="30">
        <f t="shared" si="0"/>
        <v>1145.954</v>
      </c>
      <c r="G12" s="97" t="s">
        <v>43</v>
      </c>
      <c r="H12" s="83">
        <f>F12</f>
        <v>1145.954</v>
      </c>
      <c r="I12" s="185"/>
      <c r="J12" s="185"/>
      <c r="K12" s="186"/>
    </row>
    <row r="13" spans="1:11" x14ac:dyDescent="0.25">
      <c r="A13" s="183"/>
      <c r="B13" s="25" t="s">
        <v>137</v>
      </c>
      <c r="C13" s="14" t="s">
        <v>138</v>
      </c>
      <c r="D13" s="80">
        <v>403</v>
      </c>
      <c r="E13" s="14">
        <f>1*$E$3</f>
        <v>1</v>
      </c>
      <c r="F13" s="30">
        <f>D13*E13</f>
        <v>403</v>
      </c>
      <c r="G13" s="97" t="s">
        <v>43</v>
      </c>
      <c r="H13" s="83">
        <f>F13</f>
        <v>403</v>
      </c>
      <c r="I13" s="185"/>
      <c r="J13" s="185"/>
      <c r="K13" s="186"/>
    </row>
    <row r="14" spans="1:11" x14ac:dyDescent="0.25">
      <c r="A14" s="183"/>
      <c r="B14" s="25" t="s">
        <v>140</v>
      </c>
      <c r="C14" s="14" t="s">
        <v>141</v>
      </c>
      <c r="D14" s="122">
        <v>50</v>
      </c>
      <c r="E14" s="97">
        <f>1*$E$3</f>
        <v>1</v>
      </c>
      <c r="F14" s="30">
        <f>D14*E14</f>
        <v>50</v>
      </c>
      <c r="G14" s="97">
        <v>8</v>
      </c>
      <c r="H14" s="83">
        <f>PMT(H3,G14,F14)*-1</f>
        <v>7.4263916023356469</v>
      </c>
      <c r="I14" s="185"/>
      <c r="J14" s="185"/>
      <c r="K14" s="186"/>
    </row>
    <row r="15" spans="1:11" x14ac:dyDescent="0.25">
      <c r="A15" s="183"/>
      <c r="B15" s="25" t="s">
        <v>143</v>
      </c>
      <c r="C15" s="14" t="s">
        <v>144</v>
      </c>
      <c r="D15" s="80">
        <v>250</v>
      </c>
      <c r="E15" s="14">
        <f>1*$E$3</f>
        <v>1</v>
      </c>
      <c r="F15" s="30">
        <f>D15*E15</f>
        <v>250</v>
      </c>
      <c r="G15" s="97">
        <v>5</v>
      </c>
      <c r="H15" s="83">
        <f>PMT(H3,G15,F15)*-1</f>
        <v>56.156778373258483</v>
      </c>
      <c r="I15" s="185"/>
      <c r="J15" s="185"/>
      <c r="K15" s="186"/>
    </row>
    <row r="16" spans="1:11" x14ac:dyDescent="0.25">
      <c r="A16" s="183"/>
      <c r="B16" s="82" t="s">
        <v>145</v>
      </c>
      <c r="C16" s="14" t="s">
        <v>111</v>
      </c>
      <c r="D16" s="80">
        <v>100</v>
      </c>
      <c r="E16" s="14">
        <f>1*$E$3</f>
        <v>1</v>
      </c>
      <c r="F16" s="30">
        <f>D16*E16</f>
        <v>100</v>
      </c>
      <c r="G16" s="97" t="s">
        <v>43</v>
      </c>
      <c r="H16" s="83">
        <f>F16</f>
        <v>100</v>
      </c>
      <c r="I16" s="185"/>
      <c r="J16" s="185"/>
      <c r="K16" s="186"/>
    </row>
    <row r="17" spans="1:20" x14ac:dyDescent="0.25">
      <c r="A17" s="183"/>
      <c r="B17" s="25" t="s">
        <v>146</v>
      </c>
      <c r="C17" s="14" t="s">
        <v>43</v>
      </c>
      <c r="D17" s="80">
        <v>200</v>
      </c>
      <c r="E17" s="14">
        <f>1*$E$3</f>
        <v>1</v>
      </c>
      <c r="F17" s="30">
        <f>D17*E17</f>
        <v>200</v>
      </c>
      <c r="G17" s="97" t="s">
        <v>43</v>
      </c>
      <c r="H17" s="83">
        <f>F17</f>
        <v>200</v>
      </c>
      <c r="I17" s="185"/>
      <c r="J17" s="185"/>
      <c r="K17" s="186"/>
    </row>
    <row r="18" spans="1:20" ht="15.75" thickBot="1" x14ac:dyDescent="0.3">
      <c r="A18" s="240"/>
      <c r="B18" s="26" t="s">
        <v>39</v>
      </c>
      <c r="C18" s="6"/>
      <c r="D18" s="6"/>
      <c r="E18" s="7"/>
      <c r="F18" s="55">
        <f>SUM(F10:F17)</f>
        <v>3549.9539999999997</v>
      </c>
      <c r="G18" s="8"/>
      <c r="H18" s="58">
        <f>SUM(H10:H17)</f>
        <v>2167.124374250865</v>
      </c>
      <c r="I18" s="185"/>
      <c r="J18" s="185"/>
      <c r="K18" s="186"/>
    </row>
    <row r="19" spans="1:20" ht="15.75" thickTop="1" x14ac:dyDescent="0.25">
      <c r="A19" s="183"/>
      <c r="B19" s="36" t="s">
        <v>46</v>
      </c>
      <c r="C19" s="41"/>
      <c r="D19" s="41"/>
      <c r="E19" s="40"/>
      <c r="F19" s="41"/>
      <c r="G19" s="40"/>
      <c r="H19" s="47"/>
      <c r="I19" s="185"/>
      <c r="J19" s="185"/>
      <c r="K19" s="186"/>
      <c r="P19" s="74"/>
      <c r="Q19" s="72"/>
      <c r="R19" s="72"/>
      <c r="S19" s="73"/>
    </row>
    <row r="20" spans="1:20" x14ac:dyDescent="0.25">
      <c r="A20" s="183"/>
      <c r="B20" s="25" t="s">
        <v>147</v>
      </c>
      <c r="C20" s="14" t="s">
        <v>48</v>
      </c>
      <c r="D20" s="54">
        <v>20</v>
      </c>
      <c r="E20" s="3">
        <f>100*$E$3</f>
        <v>100</v>
      </c>
      <c r="F20" s="30">
        <f>D20*E20</f>
        <v>2000</v>
      </c>
      <c r="G20" s="14">
        <v>8</v>
      </c>
      <c r="H20" s="48">
        <f>PMT(H3,G20,F20)*-1</f>
        <v>297.05566409342583</v>
      </c>
      <c r="I20" s="185"/>
      <c r="J20" s="185"/>
      <c r="K20" s="186"/>
      <c r="P20" s="74"/>
      <c r="Q20" s="72"/>
      <c r="R20" s="72"/>
      <c r="S20" s="73"/>
      <c r="T20" s="73"/>
    </row>
    <row r="21" spans="1:20" ht="15.75" thickBot="1" x14ac:dyDescent="0.3">
      <c r="A21" s="240"/>
      <c r="B21" s="26" t="s">
        <v>50</v>
      </c>
      <c r="C21" s="6"/>
      <c r="D21" s="6"/>
      <c r="E21" s="7"/>
      <c r="F21" s="285">
        <f>SUM(F20)</f>
        <v>2000</v>
      </c>
      <c r="G21" s="8"/>
      <c r="H21" s="58">
        <f>H20</f>
        <v>297.05566409342583</v>
      </c>
      <c r="I21" s="185"/>
      <c r="J21" s="185"/>
      <c r="K21" s="186"/>
      <c r="P21" s="74"/>
      <c r="Q21" s="72"/>
      <c r="R21" s="72"/>
      <c r="S21" s="73"/>
      <c r="T21" s="73"/>
    </row>
    <row r="22" spans="1:20" ht="16.5" thickTop="1" thickBot="1" x14ac:dyDescent="0.3">
      <c r="A22" s="240"/>
      <c r="B22" s="95" t="str">
        <f>CONCATENATE("Total Annual Cost for ",E3," Guardian Dog(s)")</f>
        <v>Total Annual Cost for 1 Guardian Dog(s)</v>
      </c>
      <c r="C22" s="96"/>
      <c r="D22" s="96"/>
      <c r="E22" s="96"/>
      <c r="F22" s="96"/>
      <c r="G22" s="96"/>
      <c r="H22" s="123">
        <f>SUM(H18,H21)</f>
        <v>2464.180038344291</v>
      </c>
      <c r="I22" s="185"/>
      <c r="J22" s="185"/>
      <c r="K22" s="186"/>
      <c r="P22" s="74"/>
      <c r="Q22" s="72"/>
      <c r="R22" s="72"/>
      <c r="S22" s="73"/>
      <c r="T22" s="73"/>
    </row>
    <row r="23" spans="1:20" x14ac:dyDescent="0.25">
      <c r="A23" s="240"/>
      <c r="B23" s="200"/>
      <c r="C23" s="200"/>
      <c r="D23" s="200"/>
      <c r="E23" s="200"/>
      <c r="F23" s="200"/>
      <c r="G23" s="185"/>
      <c r="H23" s="185"/>
      <c r="I23" s="185"/>
      <c r="J23" s="185"/>
      <c r="K23" s="186"/>
      <c r="P23" s="74"/>
      <c r="Q23" s="72"/>
      <c r="R23" s="72"/>
      <c r="S23" s="73"/>
      <c r="T23" s="73"/>
    </row>
    <row r="24" spans="1:20" x14ac:dyDescent="0.25">
      <c r="A24" s="240"/>
      <c r="B24" s="200"/>
      <c r="C24" s="200"/>
      <c r="D24" s="200"/>
      <c r="E24" s="200"/>
      <c r="F24" s="200"/>
      <c r="G24" s="185"/>
      <c r="H24" s="185"/>
      <c r="I24" s="185"/>
      <c r="J24" s="185"/>
      <c r="K24" s="186"/>
      <c r="P24" s="74"/>
      <c r="Q24" s="72"/>
      <c r="R24" s="72"/>
      <c r="S24" s="73"/>
      <c r="T24" s="73"/>
    </row>
    <row r="25" spans="1:20" ht="15.75" thickBot="1" x14ac:dyDescent="0.3">
      <c r="A25" s="207"/>
      <c r="B25" s="208"/>
      <c r="C25" s="208"/>
      <c r="D25" s="208"/>
      <c r="E25" s="208"/>
      <c r="F25" s="208"/>
      <c r="G25" s="208"/>
      <c r="H25" s="208"/>
      <c r="I25" s="208"/>
      <c r="J25" s="208"/>
      <c r="K25" s="213"/>
      <c r="P25" s="74"/>
      <c r="Q25" s="72"/>
      <c r="R25" s="72"/>
      <c r="S25" s="73"/>
      <c r="T25" s="73"/>
    </row>
    <row r="26" spans="1:20" x14ac:dyDescent="0.25">
      <c r="P26" s="74"/>
      <c r="Q26" s="72"/>
      <c r="R26" s="72"/>
      <c r="S26" s="73"/>
      <c r="T26" s="73"/>
    </row>
    <row r="27" spans="1:20" x14ac:dyDescent="0.25">
      <c r="P27" s="74"/>
      <c r="Q27" s="72"/>
      <c r="R27" s="72"/>
      <c r="S27" s="73"/>
      <c r="T27" s="73"/>
    </row>
    <row r="28" spans="1:20" x14ac:dyDescent="0.25">
      <c r="P28" s="74"/>
      <c r="Q28" s="72"/>
      <c r="R28" s="72"/>
      <c r="S28" s="73"/>
      <c r="T28" s="73"/>
    </row>
    <row r="29" spans="1:20" ht="15.75" thickBot="1" x14ac:dyDescent="0.3">
      <c r="P29" s="74"/>
      <c r="Q29" s="72"/>
      <c r="R29" s="72"/>
      <c r="S29" s="73"/>
      <c r="T29" s="73"/>
    </row>
    <row r="30" spans="1:20" ht="21" x14ac:dyDescent="0.35">
      <c r="B30" s="410" t="s">
        <v>214</v>
      </c>
      <c r="C30" s="411"/>
      <c r="D30" s="411"/>
      <c r="E30" s="412"/>
      <c r="P30" s="74"/>
      <c r="Q30" s="72"/>
      <c r="R30" s="72"/>
      <c r="S30" s="73"/>
      <c r="T30" s="73"/>
    </row>
    <row r="31" spans="1:20" ht="14.65" customHeight="1" x14ac:dyDescent="0.25">
      <c r="B31" s="221" t="s">
        <v>0</v>
      </c>
      <c r="C31" s="220" t="s">
        <v>99</v>
      </c>
      <c r="D31" s="383" t="s">
        <v>4</v>
      </c>
      <c r="E31" s="384"/>
      <c r="P31" s="74"/>
      <c r="Q31" s="73"/>
      <c r="R31" s="73"/>
      <c r="S31" s="73"/>
      <c r="T31" s="73"/>
    </row>
    <row r="32" spans="1:20" x14ac:dyDescent="0.25">
      <c r="B32" s="33" t="s">
        <v>129</v>
      </c>
      <c r="C32" s="262">
        <v>655</v>
      </c>
      <c r="D32" s="381" t="s">
        <v>232</v>
      </c>
      <c r="E32" s="382"/>
      <c r="P32" s="74"/>
      <c r="R32" s="72"/>
      <c r="S32" s="73"/>
      <c r="T32" s="73"/>
    </row>
    <row r="33" spans="2:20" x14ac:dyDescent="0.25">
      <c r="B33" s="33" t="s">
        <v>132</v>
      </c>
      <c r="C33" s="125" t="s">
        <v>263</v>
      </c>
      <c r="D33" s="427" t="s">
        <v>264</v>
      </c>
      <c r="E33" s="428"/>
      <c r="P33" s="74"/>
      <c r="S33" s="73"/>
      <c r="T33" s="73"/>
    </row>
    <row r="34" spans="2:20" x14ac:dyDescent="0.25">
      <c r="B34" s="33" t="s">
        <v>136</v>
      </c>
      <c r="C34" s="262" t="s">
        <v>262</v>
      </c>
      <c r="D34" s="357" t="s">
        <v>234</v>
      </c>
      <c r="E34" s="358"/>
    </row>
    <row r="35" spans="2:20" x14ac:dyDescent="0.25">
      <c r="B35" s="33" t="s">
        <v>139</v>
      </c>
      <c r="C35" s="125" t="s">
        <v>262</v>
      </c>
      <c r="D35" s="357" t="s">
        <v>235</v>
      </c>
      <c r="E35" s="358"/>
    </row>
    <row r="36" spans="2:20" ht="15.75" x14ac:dyDescent="0.25">
      <c r="B36" s="33" t="s">
        <v>142</v>
      </c>
      <c r="C36" s="253">
        <v>100</v>
      </c>
      <c r="D36" s="357" t="s">
        <v>236</v>
      </c>
      <c r="E36" s="358"/>
      <c r="Q36" s="239"/>
    </row>
    <row r="37" spans="2:20" x14ac:dyDescent="0.25">
      <c r="B37" s="33" t="s">
        <v>144</v>
      </c>
      <c r="C37" s="253">
        <v>250</v>
      </c>
      <c r="D37" s="357" t="s">
        <v>213</v>
      </c>
      <c r="E37" s="358"/>
    </row>
    <row r="38" spans="2:20" x14ac:dyDescent="0.25">
      <c r="B38" s="33" t="s">
        <v>140</v>
      </c>
      <c r="C38" s="253">
        <v>50</v>
      </c>
      <c r="D38" s="416" t="s">
        <v>237</v>
      </c>
      <c r="E38" s="417"/>
    </row>
    <row r="39" spans="2:20" x14ac:dyDescent="0.25">
      <c r="B39" s="222" t="s">
        <v>165</v>
      </c>
      <c r="C39" s="223"/>
      <c r="D39" s="223"/>
      <c r="E39" s="224"/>
    </row>
    <row r="40" spans="2:20" x14ac:dyDescent="0.25">
      <c r="B40" s="369" t="s">
        <v>265</v>
      </c>
      <c r="C40" s="398"/>
      <c r="D40" s="398"/>
      <c r="E40" s="399"/>
    </row>
    <row r="41" spans="2:20" x14ac:dyDescent="0.25">
      <c r="B41" s="366" t="s">
        <v>233</v>
      </c>
      <c r="C41" s="367"/>
      <c r="D41" s="367"/>
      <c r="E41" s="368"/>
    </row>
    <row r="42" spans="2:20" ht="15.75" thickBot="1" x14ac:dyDescent="0.3">
      <c r="B42" s="407" t="s">
        <v>238</v>
      </c>
      <c r="C42" s="408"/>
      <c r="D42" s="408"/>
      <c r="E42" s="409"/>
    </row>
    <row r="59" spans="5:5" x14ac:dyDescent="0.25">
      <c r="E59" s="71"/>
    </row>
    <row r="60" spans="5:5" x14ac:dyDescent="0.25">
      <c r="E60" s="145"/>
    </row>
    <row r="61" spans="5:5" x14ac:dyDescent="0.25">
      <c r="E61" s="145"/>
    </row>
    <row r="62" spans="5:5" x14ac:dyDescent="0.25">
      <c r="E62" s="145"/>
    </row>
    <row r="63" spans="5:5" x14ac:dyDescent="0.25">
      <c r="E63" s="145"/>
    </row>
    <row r="64" spans="5:5" x14ac:dyDescent="0.25">
      <c r="E64" s="145"/>
    </row>
    <row r="65" spans="2:8" x14ac:dyDescent="0.25">
      <c r="E65" s="145"/>
    </row>
    <row r="66" spans="2:8" x14ac:dyDescent="0.25">
      <c r="E66" s="145"/>
    </row>
    <row r="68" spans="2:8" ht="15.75" thickBot="1" x14ac:dyDescent="0.3"/>
    <row r="69" spans="2:8" ht="19.5" thickBot="1" x14ac:dyDescent="0.3">
      <c r="B69" s="177" t="s">
        <v>149</v>
      </c>
      <c r="C69" s="178"/>
      <c r="D69" s="178"/>
      <c r="E69" s="178"/>
      <c r="F69" s="178"/>
      <c r="G69" s="178"/>
      <c r="H69" s="27">
        <v>2025</v>
      </c>
    </row>
    <row r="70" spans="2:8" ht="18.75" x14ac:dyDescent="0.25">
      <c r="B70" s="19" t="s">
        <v>126</v>
      </c>
      <c r="C70" s="3"/>
      <c r="D70" s="3"/>
      <c r="E70" s="3"/>
      <c r="F70" s="3"/>
      <c r="G70" s="3"/>
      <c r="H70" s="20"/>
    </row>
    <row r="71" spans="2:8" x14ac:dyDescent="0.25">
      <c r="B71" s="21" t="s">
        <v>8</v>
      </c>
      <c r="C71" s="22"/>
      <c r="D71" s="22"/>
      <c r="E71" s="23"/>
      <c r="F71" s="23"/>
      <c r="G71" s="23"/>
      <c r="H71" s="24"/>
    </row>
    <row r="72" spans="2:8" ht="45.75" thickBot="1" x14ac:dyDescent="0.3">
      <c r="B72" s="50" t="s">
        <v>90</v>
      </c>
      <c r="C72" s="5" t="s">
        <v>10</v>
      </c>
      <c r="D72" s="4" t="s">
        <v>11</v>
      </c>
      <c r="E72" s="5" t="s">
        <v>12</v>
      </c>
      <c r="F72" s="4" t="s">
        <v>127</v>
      </c>
      <c r="G72" s="52" t="s">
        <v>13</v>
      </c>
      <c r="H72" s="53" t="s">
        <v>128</v>
      </c>
    </row>
    <row r="73" spans="2:8" x14ac:dyDescent="0.25">
      <c r="B73" s="35" t="s">
        <v>16</v>
      </c>
      <c r="C73" s="41"/>
      <c r="D73" s="42"/>
      <c r="E73" s="41"/>
      <c r="F73" s="40"/>
      <c r="G73" s="43"/>
      <c r="H73" s="44"/>
    </row>
    <row r="74" spans="2:8" x14ac:dyDescent="0.25">
      <c r="B74" s="25" t="s">
        <v>130</v>
      </c>
      <c r="C74" s="14" t="s">
        <v>131</v>
      </c>
      <c r="D74" s="54">
        <f>655+446</f>
        <v>1101</v>
      </c>
      <c r="E74" s="14">
        <f>1*$E$3</f>
        <v>1</v>
      </c>
      <c r="F74" s="30">
        <f>D74*E74</f>
        <v>1101</v>
      </c>
      <c r="G74" s="97">
        <v>6</v>
      </c>
      <c r="H74" s="83">
        <f>PMT($H$3,G74,F74)*-1</f>
        <v>210.02885466125738</v>
      </c>
    </row>
    <row r="75" spans="2:8" x14ac:dyDescent="0.25">
      <c r="B75" s="25" t="s">
        <v>133</v>
      </c>
      <c r="C75" s="14" t="s">
        <v>134</v>
      </c>
      <c r="D75" s="54">
        <v>300</v>
      </c>
      <c r="E75" s="14">
        <f>1*$E$3</f>
        <v>1</v>
      </c>
      <c r="F75" s="30">
        <f t="shared" ref="F75:F76" si="1">D75*E75</f>
        <v>300</v>
      </c>
      <c r="G75" s="97">
        <v>8</v>
      </c>
      <c r="H75" s="83">
        <f>PMT($H$3,G75,F75)*-1</f>
        <v>44.558349614013878</v>
      </c>
    </row>
    <row r="76" spans="2:8" x14ac:dyDescent="0.25">
      <c r="B76" s="25" t="s">
        <v>132</v>
      </c>
      <c r="C76" s="14" t="s">
        <v>135</v>
      </c>
      <c r="D76" s="80">
        <v>1.67</v>
      </c>
      <c r="E76" s="127">
        <f>686.2*$E$3</f>
        <v>686.2</v>
      </c>
      <c r="F76" s="30">
        <f t="shared" si="1"/>
        <v>1145.954</v>
      </c>
      <c r="G76" s="97" t="s">
        <v>43</v>
      </c>
      <c r="H76" s="83">
        <f>F76</f>
        <v>1145.954</v>
      </c>
    </row>
    <row r="77" spans="2:8" x14ac:dyDescent="0.25">
      <c r="B77" s="25" t="s">
        <v>137</v>
      </c>
      <c r="C77" s="14" t="s">
        <v>148</v>
      </c>
      <c r="D77" s="80">
        <v>403</v>
      </c>
      <c r="E77" s="14">
        <f>1*$E$3</f>
        <v>1</v>
      </c>
      <c r="F77" s="30">
        <f>D77*E77</f>
        <v>403</v>
      </c>
      <c r="G77" s="97" t="s">
        <v>43</v>
      </c>
      <c r="H77" s="83">
        <f>F77</f>
        <v>403</v>
      </c>
    </row>
    <row r="78" spans="2:8" x14ac:dyDescent="0.25">
      <c r="B78" s="25" t="s">
        <v>140</v>
      </c>
      <c r="C78" s="14" t="s">
        <v>141</v>
      </c>
      <c r="D78" s="122">
        <v>50</v>
      </c>
      <c r="E78" s="97">
        <f>1*$E$3</f>
        <v>1</v>
      </c>
      <c r="F78" s="30">
        <f>D78*E78</f>
        <v>50</v>
      </c>
      <c r="G78" s="97">
        <v>8</v>
      </c>
      <c r="H78" s="83">
        <f>PMT($H$3,G78,F78)*-1</f>
        <v>7.4263916023356469</v>
      </c>
    </row>
    <row r="79" spans="2:8" x14ac:dyDescent="0.25">
      <c r="B79" s="25" t="s">
        <v>143</v>
      </c>
      <c r="C79" s="14" t="s">
        <v>144</v>
      </c>
      <c r="D79" s="80">
        <v>250</v>
      </c>
      <c r="E79" s="14">
        <f>1*$E$3</f>
        <v>1</v>
      </c>
      <c r="F79" s="30">
        <f>D79*E79</f>
        <v>250</v>
      </c>
      <c r="G79" s="97">
        <v>5</v>
      </c>
      <c r="H79" s="83">
        <f>PMT($H$3,G79,F79)*-1</f>
        <v>56.156778373258483</v>
      </c>
    </row>
    <row r="80" spans="2:8" x14ac:dyDescent="0.25">
      <c r="B80" s="82" t="s">
        <v>145</v>
      </c>
      <c r="C80" s="14" t="s">
        <v>111</v>
      </c>
      <c r="D80" s="80">
        <v>100</v>
      </c>
      <c r="E80" s="14">
        <f>1*$E$3</f>
        <v>1</v>
      </c>
      <c r="F80" s="30">
        <f>D80*E80</f>
        <v>100</v>
      </c>
      <c r="G80" s="97" t="s">
        <v>43</v>
      </c>
      <c r="H80" s="83">
        <f>F80</f>
        <v>100</v>
      </c>
    </row>
    <row r="81" spans="2:8" x14ac:dyDescent="0.25">
      <c r="B81" s="25" t="s">
        <v>146</v>
      </c>
      <c r="C81" s="14" t="s">
        <v>43</v>
      </c>
      <c r="D81" s="80">
        <v>200</v>
      </c>
      <c r="E81" s="14">
        <f>1*$E$3</f>
        <v>1</v>
      </c>
      <c r="F81" s="30">
        <f>D81*E81</f>
        <v>200</v>
      </c>
      <c r="G81" s="97" t="s">
        <v>43</v>
      </c>
      <c r="H81" s="83">
        <f>F81</f>
        <v>200</v>
      </c>
    </row>
    <row r="82" spans="2:8" ht="15.75" thickBot="1" x14ac:dyDescent="0.3">
      <c r="B82" s="26" t="s">
        <v>39</v>
      </c>
      <c r="C82" s="6"/>
      <c r="D82" s="6"/>
      <c r="E82" s="7"/>
      <c r="F82" s="37">
        <f>SUM(F74:F81)</f>
        <v>3549.9539999999997</v>
      </c>
      <c r="G82" s="8"/>
      <c r="H82" s="58">
        <f>SUM(H74:H81)</f>
        <v>2167.124374250865</v>
      </c>
    </row>
    <row r="83" spans="2:8" ht="15.75" thickTop="1" x14ac:dyDescent="0.25">
      <c r="B83" s="36" t="s">
        <v>46</v>
      </c>
      <c r="C83" s="41"/>
      <c r="D83" s="41"/>
      <c r="E83" s="40"/>
      <c r="F83" s="41"/>
      <c r="G83" s="40"/>
      <c r="H83" s="47"/>
    </row>
    <row r="84" spans="2:8" x14ac:dyDescent="0.25">
      <c r="B84" s="25" t="s">
        <v>147</v>
      </c>
      <c r="C84" s="14" t="s">
        <v>48</v>
      </c>
      <c r="D84" s="54">
        <v>20</v>
      </c>
      <c r="E84" s="3">
        <f>100*$E$3</f>
        <v>100</v>
      </c>
      <c r="F84" s="30">
        <f>D84*E84</f>
        <v>2000</v>
      </c>
      <c r="G84" s="14">
        <v>8</v>
      </c>
      <c r="H84" s="48">
        <f>PMT($H$3,G84,F84)*-1</f>
        <v>297.05566409342583</v>
      </c>
    </row>
    <row r="85" spans="2:8" ht="15.75" thickBot="1" x14ac:dyDescent="0.3">
      <c r="B85" s="26" t="s">
        <v>50</v>
      </c>
      <c r="C85" s="6"/>
      <c r="D85" s="6"/>
      <c r="E85" s="7"/>
      <c r="F85" s="63"/>
      <c r="G85" s="8"/>
      <c r="H85" s="58">
        <f>H84</f>
        <v>297.05566409342583</v>
      </c>
    </row>
    <row r="86" spans="2:8" ht="16.5" thickTop="1" thickBot="1" x14ac:dyDescent="0.3">
      <c r="B86" s="95" t="str">
        <f>CONCATENATE("Total Annual Cost for ",$E$3," Guardian Dog(s)")</f>
        <v>Total Annual Cost for 1 Guardian Dog(s)</v>
      </c>
      <c r="C86" s="96"/>
      <c r="D86" s="96"/>
      <c r="E86" s="96"/>
      <c r="F86" s="96"/>
      <c r="G86" s="96"/>
      <c r="H86" s="123">
        <f>SUM(H82,H85)</f>
        <v>2464.180038344291</v>
      </c>
    </row>
  </sheetData>
  <mergeCells count="15">
    <mergeCell ref="B42:E42"/>
    <mergeCell ref="D32:E32"/>
    <mergeCell ref="D34:E34"/>
    <mergeCell ref="D36:E36"/>
    <mergeCell ref="D37:E37"/>
    <mergeCell ref="D38:E38"/>
    <mergeCell ref="D33:E33"/>
    <mergeCell ref="D35:E35"/>
    <mergeCell ref="B40:E40"/>
    <mergeCell ref="A1:K1"/>
    <mergeCell ref="B30:E30"/>
    <mergeCell ref="D31:E31"/>
    <mergeCell ref="B41:E41"/>
    <mergeCell ref="B3:D3"/>
    <mergeCell ref="B5:G5"/>
  </mergeCells>
  <hyperlinks>
    <hyperlink ref="D32" r:id="rId1" display="https://www.aphis.usda.gov/sites/default/files/20220127_WS Nonlethal Initiative FY21 Annual Report_Compressed_Final.pdf" xr:uid="{B1E82E48-5CCD-44BB-877A-22EB7A25219D}"/>
    <hyperlink ref="D34" r:id="rId2" display="https://spendonpet.com/cost-to-neuter-or-spay-a-dog/" xr:uid="{3ED37802-9340-4AFE-9EC1-3560138EFF99}"/>
    <hyperlink ref="D35" r:id="rId3" display="https://www.dogster.com/dog-health-care/dog-puppy-vaccinations-cost" xr:uid="{E19D78C7-189A-4399-A520-4157ECE7EDBC}"/>
    <hyperlink ref="D36" r:id="rId4" display="https://workingdogliabilityinsurance.com/how-much-does-wdli-cost/" xr:uid="{9BD8AB7E-628C-423F-B301-1A59506F8B2B}"/>
    <hyperlink ref="D37" r:id="rId5" display="https://www.tractorsupply.com/tsc/search/livestock guardian dog houses?isIntSrch=written" xr:uid="{0023C9A6-C216-42A4-85E5-296E85FBC927}"/>
    <hyperlink ref="D38" r:id="rId6" display="https://vety.com/costs/cost-to-microchip-a-dog" xr:uid="{567C065A-84C4-4C98-9488-3C2B875E953C}"/>
    <hyperlink ref="B42" r:id="rId7" display="https://sanangelo.tamu.edu/2020/03/02/the-guardian-way-march-2020/" xr:uid="{0CE0B89C-94A7-4644-8AD1-07B54B835232}"/>
    <hyperlink ref="B41" r:id="rId8" display="https://sanangelo.tamu.edu/files/2013/08/Livestock-Guardian-Dogs1.pdf" xr:uid="{622E928D-1F56-45ED-BAD0-A1C6EE2BEBD0}"/>
    <hyperlink ref="D33" r:id="rId9" display="https://www.petsuppliesplus.com/categories/dog/food/premium/dry/purina-pro-plan-high-protein-digestive-health-large-breed-dry-dog-food-chicken-and-rice-formula/19678?sku=038100132529" xr:uid="{AA583514-FC3E-4205-AB23-FB1FD9B715BB}"/>
    <hyperlink ref="B40" r:id="rId10" display="https://ucanr.edu/sites/default/files/2019-06/305121.pdf" xr:uid="{562A0497-0A50-4012-BAF1-91F0DEC227D1}"/>
  </hyperlinks>
  <pageMargins left="0.7" right="0.7" top="0.75" bottom="0.75" header="0.3" footer="0.3"/>
  <pageSetup orientation="portrait" r:id="rId11"/>
  <ignoredErrors>
    <ignoredError sqref="E12" formula="1"/>
  </ignoredErrors>
  <drawing r:id="rId12"/>
  <legacyDrawing r:id="rId13"/>
  <extLst>
    <ext xmlns:x14="http://schemas.microsoft.com/office/spreadsheetml/2009/9/main" uri="{CCE6A557-97BC-4b89-ADB6-D9C93CAAB3DF}">
      <x14:dataValidations xmlns:xm="http://schemas.microsoft.com/office/excel/2006/main" count="2">
        <x14:dataValidation type="list" allowBlank="1" showInputMessage="1" showErrorMessage="1" xr:uid="{10319B49-45C1-49F0-82B2-05B194D13FFC}">
          <x14:formula1>
            <xm:f>List!$B$2:$B$9</xm:f>
          </x14:formula1>
          <xm:sqref>H3</xm:sqref>
        </x14:dataValidation>
        <x14:dataValidation type="list" allowBlank="1" showInputMessage="1" showErrorMessage="1" xr:uid="{F97A48DF-1856-43ED-81F4-CB1F77508CE1}">
          <x14:formula1>
            <xm:f>List!$E$2:$E$11</xm:f>
          </x14:formula1>
          <xm:sqref>E3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C6BA1-FDAA-4C0A-BCD4-4F02277CC62B}">
  <sheetPr>
    <tabColor theme="9" tint="0.59999389629810485"/>
  </sheetPr>
  <dimension ref="A1:M13"/>
  <sheetViews>
    <sheetView zoomScale="65" zoomScaleNormal="70" workbookViewId="0">
      <selection activeCell="H35" sqref="H35"/>
    </sheetView>
  </sheetViews>
  <sheetFormatPr defaultRowHeight="15" x14ac:dyDescent="0.25"/>
  <cols>
    <col min="2" max="2" width="19.140625" customWidth="1"/>
    <col min="3" max="3" width="18.85546875" customWidth="1"/>
    <col min="4" max="4" width="8.85546875" customWidth="1"/>
    <col min="5" max="5" width="25.5703125" customWidth="1"/>
    <col min="6" max="6" width="8.85546875" customWidth="1"/>
    <col min="7" max="7" width="17.5703125" customWidth="1"/>
  </cols>
  <sheetData>
    <row r="1" spans="1:13" ht="30" customHeight="1" x14ac:dyDescent="0.25">
      <c r="A1" s="429" t="s">
        <v>164</v>
      </c>
      <c r="B1" s="429"/>
      <c r="C1" s="429"/>
      <c r="D1" s="429"/>
      <c r="E1" s="429"/>
      <c r="F1" s="429"/>
      <c r="G1" s="429"/>
      <c r="H1" s="429"/>
      <c r="I1" s="429"/>
      <c r="J1" s="429"/>
      <c r="K1" s="429"/>
      <c r="L1" s="56"/>
      <c r="M1" s="56"/>
    </row>
    <row r="2" spans="1:13" x14ac:dyDescent="0.25">
      <c r="A2" s="185"/>
      <c r="B2" s="185"/>
      <c r="C2" s="185"/>
      <c r="D2" s="185"/>
      <c r="E2" s="185"/>
      <c r="F2" s="185"/>
      <c r="G2" s="185"/>
      <c r="H2" s="185"/>
      <c r="I2" s="185"/>
      <c r="J2" s="185"/>
      <c r="K2" s="185"/>
    </row>
    <row r="3" spans="1:13" x14ac:dyDescent="0.25">
      <c r="A3" s="185"/>
      <c r="B3" s="185"/>
      <c r="C3" s="185"/>
      <c r="D3" s="185"/>
      <c r="E3" s="185"/>
      <c r="F3" s="185"/>
      <c r="G3" s="185"/>
      <c r="H3" s="185"/>
      <c r="I3" s="185"/>
      <c r="J3" s="185"/>
      <c r="K3" s="185"/>
    </row>
    <row r="4" spans="1:13" ht="15.75" thickBot="1" x14ac:dyDescent="0.3">
      <c r="A4" s="185"/>
      <c r="B4" s="185"/>
      <c r="C4" s="185"/>
      <c r="D4" s="185"/>
      <c r="E4" s="185"/>
      <c r="F4" s="185"/>
      <c r="G4" s="185"/>
      <c r="H4" s="185"/>
      <c r="I4" s="185"/>
      <c r="J4" s="185"/>
      <c r="K4" s="185"/>
    </row>
    <row r="5" spans="1:13" ht="15.75" thickBot="1" x14ac:dyDescent="0.3">
      <c r="A5" s="185"/>
      <c r="B5" s="264" t="s">
        <v>192</v>
      </c>
      <c r="C5" s="265" t="s">
        <v>198</v>
      </c>
      <c r="D5" s="265" t="s">
        <v>99</v>
      </c>
      <c r="E5" s="265" t="s">
        <v>199</v>
      </c>
      <c r="F5" s="265" t="s">
        <v>99</v>
      </c>
      <c r="G5" s="265" t="s">
        <v>200</v>
      </c>
      <c r="H5" s="266" t="s">
        <v>99</v>
      </c>
      <c r="I5" s="185"/>
      <c r="J5" s="185"/>
      <c r="K5" s="185"/>
    </row>
    <row r="6" spans="1:13" x14ac:dyDescent="0.25">
      <c r="A6" s="185"/>
      <c r="B6" s="241" t="s">
        <v>193</v>
      </c>
      <c r="C6" s="242" t="s">
        <v>196</v>
      </c>
      <c r="D6" s="243">
        <v>97.74</v>
      </c>
      <c r="E6" s="242" t="s">
        <v>197</v>
      </c>
      <c r="F6" s="243">
        <v>49.99</v>
      </c>
      <c r="G6" s="242" t="s">
        <v>196</v>
      </c>
      <c r="H6" s="244">
        <v>59.95</v>
      </c>
      <c r="I6" s="251"/>
      <c r="J6" s="185"/>
      <c r="K6" s="185"/>
    </row>
    <row r="7" spans="1:13" x14ac:dyDescent="0.25">
      <c r="A7" s="185"/>
      <c r="B7" s="241" t="s">
        <v>194</v>
      </c>
      <c r="C7" s="1" t="s">
        <v>266</v>
      </c>
      <c r="D7" s="263">
        <v>122.82</v>
      </c>
      <c r="E7" s="242" t="s">
        <v>202</v>
      </c>
      <c r="F7" s="243">
        <v>39.950000000000003</v>
      </c>
      <c r="G7" s="242" t="s">
        <v>206</v>
      </c>
      <c r="H7" s="245">
        <v>129.99</v>
      </c>
      <c r="I7" s="185"/>
      <c r="J7" s="185"/>
      <c r="K7" s="185"/>
    </row>
    <row r="8" spans="1:13" x14ac:dyDescent="0.25">
      <c r="A8" s="185"/>
      <c r="B8" s="241" t="s">
        <v>195</v>
      </c>
      <c r="C8" s="242"/>
      <c r="D8" s="243"/>
      <c r="E8" s="242" t="s">
        <v>201</v>
      </c>
      <c r="F8" s="243">
        <v>15.99</v>
      </c>
      <c r="G8" s="242" t="s">
        <v>203</v>
      </c>
      <c r="H8" s="152">
        <v>82.11</v>
      </c>
      <c r="I8" s="185"/>
      <c r="J8" s="185"/>
      <c r="K8" s="185"/>
    </row>
    <row r="9" spans="1:13" x14ac:dyDescent="0.25">
      <c r="A9" s="185"/>
      <c r="B9" s="241" t="s">
        <v>205</v>
      </c>
      <c r="C9" t="s">
        <v>267</v>
      </c>
      <c r="D9" s="147"/>
      <c r="E9" t="s">
        <v>207</v>
      </c>
      <c r="F9" s="147"/>
      <c r="G9" s="125" t="s">
        <v>208</v>
      </c>
      <c r="H9" s="246"/>
      <c r="I9" s="185"/>
      <c r="J9" s="185"/>
      <c r="K9" s="185"/>
    </row>
    <row r="10" spans="1:13" ht="15.75" thickBot="1" x14ac:dyDescent="0.3">
      <c r="A10" s="185"/>
      <c r="B10" s="247" t="s">
        <v>204</v>
      </c>
      <c r="C10" s="249" t="str">
        <f>TEXT(ABS(PMT(0.04, 5, D6)), "$0.00") &amp; " - " &amp; TEXT(ABS(PMT(0.04, 5, D7)), "$0.00")</f>
        <v>$21.96 - $27.59</v>
      </c>
      <c r="D10" s="248"/>
      <c r="E10" s="249" t="str">
        <f>TEXT(ABS(PMT(0.04, 5, F8)), "$0.00") &amp; " - " &amp; TEXT(ABS(PMT(0.04, 5, F6)), "$0.00")</f>
        <v>$3.59 - $11.23</v>
      </c>
      <c r="F10" s="248"/>
      <c r="G10" s="250" t="str">
        <f>TEXT(ABS(PMT(0.04, 5, H6)), "$0.00") &amp; " - " &amp; TEXT(ABS(PMT(0.04, 5, H7)), "$0.00")</f>
        <v>$13.47 - $29.20</v>
      </c>
      <c r="H10" s="219"/>
      <c r="I10" s="185"/>
      <c r="J10" s="185"/>
      <c r="K10" s="185"/>
    </row>
    <row r="11" spans="1:13" x14ac:dyDescent="0.25">
      <c r="A11" s="185"/>
      <c r="B11" s="185"/>
      <c r="C11" s="185"/>
      <c r="D11" s="185"/>
      <c r="E11" s="185"/>
      <c r="F11" s="185"/>
      <c r="G11" s="185"/>
      <c r="H11" s="185"/>
      <c r="I11" s="185"/>
      <c r="J11" s="185"/>
      <c r="K11" s="185"/>
    </row>
    <row r="12" spans="1:13" x14ac:dyDescent="0.25">
      <c r="A12" s="185"/>
      <c r="B12" s="185"/>
      <c r="C12" s="185"/>
      <c r="D12" s="185"/>
      <c r="E12" s="185"/>
      <c r="F12" s="185"/>
      <c r="G12" s="185"/>
      <c r="H12" s="185"/>
      <c r="I12" s="185"/>
      <c r="J12" s="185"/>
      <c r="K12" s="185"/>
    </row>
    <row r="13" spans="1:13" x14ac:dyDescent="0.25">
      <c r="A13" s="185"/>
      <c r="B13" s="185"/>
      <c r="C13" s="185"/>
      <c r="D13" s="185"/>
      <c r="E13" s="185"/>
      <c r="F13" s="185"/>
      <c r="G13" s="185"/>
      <c r="H13" s="185"/>
      <c r="I13" s="185"/>
      <c r="J13" s="185"/>
      <c r="K13" s="185"/>
    </row>
  </sheetData>
  <mergeCells count="1">
    <mergeCell ref="A1:K1"/>
  </mergeCells>
  <hyperlinks>
    <hyperlink ref="C6" r:id="rId1" xr:uid="{A877699F-CC1C-48CF-8980-0D7FBA353783}"/>
    <hyperlink ref="E6" r:id="rId2" xr:uid="{60B8C2BC-AA5A-4722-BB69-1356C72E6359}"/>
    <hyperlink ref="E8" r:id="rId3" xr:uid="{08844521-E090-4596-B26A-6674DEBF4E3D}"/>
    <hyperlink ref="E7" r:id="rId4" display="https://aroflit.com/products/solar-power-ultrasonic-animal-repellent-deterrent?variant=44869116592359&amp;utm_medium=cpc&amp;utm_source=bing&amp;utm_campaign=Bing%20Shopping&amp;msclkid=bbb3224add5013542f5b45a369a61ca7&amp;utm_term=4587712277508288&amp;utm_content=Ad%20group%20%231" xr:uid="{3C4F6C6F-2FF4-4553-9517-24B9432997C1}"/>
    <hyperlink ref="G7" r:id="rId5" display="https://www.tractorsupply.com/tsc/product/spypoint-flex-m-twin-pack-2358723?utm_source=pepperjam&amp;utm_medium=affiliate&amp;cid=pepperjam-affiliate-211830&amp;affiliate_id=211830&amp;click_id=5045794826&amp;clickId=5045794826" xr:uid="{5167E1D1-CDFF-43EE-9362-41691CEA88FE}"/>
    <hyperlink ref="G6" r:id="rId6" display="https://www.amazon.com/dp/B0D3HQ2WNJ?tag=track-ect-bing-usa-842538-20&amp;linkCode=osi&amp;th=1&amp;psc=1" xr:uid="{475B632A-AA41-482C-8019-7ED389451576}"/>
    <hyperlink ref="G8" r:id="rId7" display="https://www.walmart.com/ip/VIKERI-1520P-20MP-Trail-Camera-120-Wide-Angle-Motion-Sensor-0-2s-Trigger-Time/992533957?clickid=1k6Syf0fKxycTDIW-4XPSQ1SUks363VoE0se000&amp;irgwc=1&amp;sourceid=imp_1k6Syf0fKxycTDIW-4XPSQ1SUks363VoE0se000&amp;veh=aff&amp;wmlspartner=imp_2480467&amp;affiliates_ad_id=1285207&amp;campaign_id=9383&amp;sharedid=" xr:uid="{CEF338E5-6392-44F6-9405-7BBC451DBD06}"/>
    <hyperlink ref="C7" r:id="rId8" display="https://www.electricfence-online.co.uk/foxlights.html" xr:uid="{619CF133-7183-4675-AEE6-BF71A4ECB536}"/>
  </hyperlinks>
  <pageMargins left="0.7" right="0.7" top="0.75" bottom="0.75" header="0.3" footer="0.3"/>
  <drawing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HomePage</vt:lpstr>
      <vt:lpstr>Sensitivity Tables</vt:lpstr>
      <vt:lpstr>Mult. Animal Pred.</vt:lpstr>
      <vt:lpstr>Turbo Fladry</vt:lpstr>
      <vt:lpstr>Night Penning</vt:lpstr>
      <vt:lpstr>Range Riding</vt:lpstr>
      <vt:lpstr>Carcass Composting</vt:lpstr>
      <vt:lpstr>Gaurdian Dogs</vt:lpstr>
      <vt:lpstr>Deterrent Devices</vt:lpstr>
      <vt:lpstr>List</vt:lpstr>
      <vt:lpstr>RR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Mia Morones</dc:creator>
  <cp:keywords/>
  <dc:description/>
  <cp:lastModifiedBy>Hoag,Dana</cp:lastModifiedBy>
  <cp:revision/>
  <dcterms:created xsi:type="dcterms:W3CDTF">2024-08-15T16:01:47Z</dcterms:created>
  <dcterms:modified xsi:type="dcterms:W3CDTF">2025-08-18T21:50:16Z</dcterms:modified>
  <cp:category/>
  <cp:contentStatus/>
</cp:coreProperties>
</file>