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8_{39956ACD-19D1-422C-A29D-985CAAC93D13}" xr6:coauthVersionLast="47" xr6:coauthVersionMax="47" xr10:uidLastSave="{00000000-0000-0000-0000-000000000000}"/>
  <bookViews>
    <workbookView xWindow="-120" yWindow="-120" windowWidth="29040" windowHeight="15720" xr2:uid="{FC764B4C-136A-41C9-8741-7879D30F2E17}"/>
  </bookViews>
  <sheets>
    <sheet name="Summary Budget" sheetId="14" r:id="rId1"/>
    <sheet name="Assumptions + Income" sheetId="13" r:id="rId2"/>
    <sheet name="Cow Carrying Costs" sheetId="10" r:id="rId3"/>
  </sheets>
  <definedNames>
    <definedName name="_xlnm.Print_Area" localSheetId="1">'Assumptions + Income'!$B$1:$N$37</definedName>
    <definedName name="_xlnm.Print_Area" localSheetId="2">'Cow Carrying Costs'!$B$2:$J$122</definedName>
    <definedName name="_xlnm.Print_Area" localSheetId="0">'Summary Budget'!$B$1:$N$71</definedName>
    <definedName name="Print_Area_MI">#REF!</definedName>
    <definedName name="_xlnm.Print_Titles" localSheetId="2">'Cow Carrying Costs'!$1:$1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0" l="1"/>
  <c r="I6" i="10"/>
  <c r="H7" i="10"/>
  <c r="I7" i="10"/>
  <c r="H8" i="10"/>
  <c r="I8" i="10"/>
  <c r="H9" i="10"/>
  <c r="I9" i="10"/>
  <c r="H10" i="10"/>
  <c r="I10" i="10"/>
  <c r="I11" i="10"/>
  <c r="E13" i="10"/>
  <c r="H13" i="10"/>
  <c r="I13" i="10"/>
  <c r="H19" i="10"/>
  <c r="I19" i="10"/>
  <c r="H20" i="10"/>
  <c r="I20" i="10"/>
  <c r="H21" i="10"/>
  <c r="I21" i="10"/>
  <c r="I22" i="10"/>
  <c r="H24" i="10"/>
  <c r="I24" i="10"/>
  <c r="H30" i="10"/>
  <c r="I30" i="10"/>
  <c r="H31" i="10"/>
  <c r="H32" i="10"/>
  <c r="I32" i="10"/>
  <c r="H33" i="10"/>
  <c r="I33" i="10"/>
  <c r="H34" i="10"/>
  <c r="I34" i="10"/>
  <c r="H36" i="10"/>
  <c r="I36" i="10"/>
  <c r="E42" i="10"/>
  <c r="H42" i="10"/>
  <c r="I42" i="10"/>
  <c r="E43" i="10"/>
  <c r="H43" i="10"/>
  <c r="I43" i="10"/>
  <c r="H44" i="10"/>
  <c r="E45" i="10"/>
  <c r="H45" i="10"/>
  <c r="I45" i="10"/>
  <c r="E46" i="10"/>
  <c r="F46" i="10"/>
  <c r="H46" i="10"/>
  <c r="I46" i="10"/>
  <c r="H47" i="10"/>
  <c r="H48" i="10"/>
  <c r="H50" i="10"/>
  <c r="I50" i="10"/>
  <c r="E56" i="10"/>
  <c r="H56" i="10"/>
  <c r="I56" i="10"/>
  <c r="H57" i="10"/>
  <c r="E58" i="10"/>
  <c r="H58" i="10"/>
  <c r="I58" i="10"/>
  <c r="H59" i="10"/>
  <c r="H61" i="10"/>
  <c r="I61" i="10"/>
  <c r="H67" i="10"/>
  <c r="I67" i="10"/>
  <c r="E68" i="10"/>
  <c r="H68" i="10"/>
  <c r="I68" i="10"/>
  <c r="E69" i="10"/>
  <c r="H69" i="10"/>
  <c r="I69" i="10"/>
  <c r="E70" i="10"/>
  <c r="H70" i="10"/>
  <c r="I70" i="10"/>
  <c r="H71" i="10"/>
  <c r="H72" i="10"/>
  <c r="H73" i="10"/>
  <c r="H75" i="10"/>
  <c r="I75" i="10"/>
  <c r="H81" i="10"/>
  <c r="H82" i="10"/>
  <c r="H83" i="10"/>
  <c r="H84" i="10"/>
  <c r="H85" i="10"/>
  <c r="H87" i="10"/>
  <c r="I87" i="10"/>
  <c r="H93" i="10"/>
  <c r="H94" i="10"/>
  <c r="I94" i="10"/>
  <c r="H95" i="10"/>
  <c r="H96" i="10"/>
  <c r="H97" i="10"/>
  <c r="H98" i="10"/>
  <c r="H99" i="10"/>
  <c r="H101" i="10"/>
  <c r="I101" i="10"/>
  <c r="D107" i="10"/>
  <c r="H107" i="10"/>
  <c r="I107" i="10"/>
  <c r="H108" i="10"/>
  <c r="H109" i="10"/>
  <c r="H110" i="10"/>
  <c r="H112" i="10"/>
  <c r="I112" i="10"/>
  <c r="H118" i="10"/>
  <c r="H119" i="10"/>
  <c r="H120" i="10"/>
  <c r="H122" i="10"/>
  <c r="I122" i="10"/>
  <c r="H129" i="10"/>
  <c r="H131" i="10"/>
  <c r="I131" i="10"/>
  <c r="M7" i="13"/>
  <c r="M8" i="13"/>
  <c r="M9" i="13"/>
  <c r="M11" i="13"/>
  <c r="M12" i="13"/>
  <c r="M13" i="13"/>
  <c r="M14" i="13"/>
  <c r="D29" i="13"/>
  <c r="K29" i="13"/>
  <c r="L29" i="13"/>
  <c r="M29" i="13"/>
  <c r="D30" i="13"/>
  <c r="K30" i="13"/>
  <c r="L30" i="13"/>
  <c r="M30" i="13"/>
  <c r="D31" i="13"/>
  <c r="K31" i="13"/>
  <c r="L31" i="13"/>
  <c r="M31" i="13"/>
  <c r="D32" i="13"/>
  <c r="K32" i="13"/>
  <c r="L32" i="13"/>
  <c r="M32" i="13"/>
  <c r="D33" i="13"/>
  <c r="K33" i="13"/>
  <c r="L33" i="13"/>
  <c r="M33" i="13"/>
  <c r="M34" i="13"/>
  <c r="D36" i="13"/>
  <c r="L36" i="13"/>
  <c r="M36" i="13"/>
  <c r="G8" i="14"/>
  <c r="M8" i="14"/>
  <c r="G9" i="14"/>
  <c r="M9" i="14"/>
  <c r="G10" i="14"/>
  <c r="M10" i="14"/>
  <c r="G11" i="14"/>
  <c r="M11" i="14"/>
  <c r="G12" i="14"/>
  <c r="M12" i="14"/>
  <c r="G13" i="14"/>
  <c r="M14" i="14"/>
  <c r="G15" i="14"/>
  <c r="M15" i="14"/>
  <c r="D23" i="14"/>
  <c r="E23" i="14"/>
  <c r="G23" i="14"/>
  <c r="K23" i="14"/>
  <c r="L23" i="14"/>
  <c r="M23" i="14"/>
  <c r="D24" i="14"/>
  <c r="E24" i="14"/>
  <c r="G24" i="14"/>
  <c r="K24" i="14"/>
  <c r="L24" i="14"/>
  <c r="M24" i="14"/>
  <c r="D25" i="14"/>
  <c r="E25" i="14"/>
  <c r="G25" i="14"/>
  <c r="K25" i="14"/>
  <c r="L25" i="14"/>
  <c r="M25" i="14"/>
  <c r="D26" i="14"/>
  <c r="E26" i="14"/>
  <c r="G26" i="14"/>
  <c r="K26" i="14"/>
  <c r="L26" i="14"/>
  <c r="M26" i="14"/>
  <c r="D27" i="14"/>
  <c r="E27" i="14"/>
  <c r="G27" i="14"/>
  <c r="K27" i="14"/>
  <c r="L27" i="14"/>
  <c r="M27" i="14"/>
  <c r="M28" i="14"/>
  <c r="L30" i="14"/>
  <c r="M30" i="14"/>
  <c r="L34" i="14"/>
  <c r="M34" i="14"/>
  <c r="L35" i="14"/>
  <c r="M35" i="14"/>
  <c r="L36" i="14"/>
  <c r="M36" i="14"/>
  <c r="L37" i="14"/>
  <c r="M37" i="14"/>
  <c r="L38" i="14"/>
  <c r="M38" i="14"/>
  <c r="L39" i="14"/>
  <c r="M39" i="14"/>
  <c r="L40" i="14"/>
  <c r="M40" i="14"/>
  <c r="L41" i="14"/>
  <c r="M41" i="14"/>
  <c r="L43" i="14"/>
  <c r="M43" i="14"/>
  <c r="L47" i="14"/>
  <c r="M47" i="14"/>
  <c r="L48" i="14"/>
  <c r="M48" i="14"/>
  <c r="L49" i="14"/>
  <c r="M49" i="14"/>
  <c r="L50" i="14"/>
  <c r="M50" i="14"/>
  <c r="L52" i="14"/>
  <c r="M52" i="14"/>
  <c r="M54" i="14"/>
  <c r="E58" i="14"/>
  <c r="G58" i="14"/>
  <c r="K58" i="14"/>
  <c r="L58" i="14"/>
  <c r="M58" i="14"/>
  <c r="E59" i="14"/>
  <c r="G59" i="14"/>
  <c r="K59" i="14"/>
  <c r="L59" i="14"/>
  <c r="M59" i="14"/>
  <c r="E60" i="14"/>
  <c r="G60" i="14"/>
  <c r="K60" i="14"/>
  <c r="L60" i="14"/>
  <c r="M60" i="14"/>
  <c r="E61" i="14"/>
  <c r="G61" i="14"/>
  <c r="K61" i="14"/>
  <c r="L61" i="14"/>
  <c r="M61" i="14"/>
  <c r="E62" i="14"/>
  <c r="G62" i="14"/>
  <c r="K62" i="14"/>
  <c r="L62" i="14"/>
  <c r="M62" i="14"/>
  <c r="E63" i="14"/>
  <c r="G63" i="14"/>
  <c r="K63" i="14"/>
  <c r="L63" i="14"/>
  <c r="M63" i="14"/>
  <c r="E64" i="14"/>
  <c r="G64" i="14"/>
  <c r="K64" i="14"/>
  <c r="L64" i="14"/>
  <c r="M64" i="14"/>
  <c r="E65" i="14"/>
  <c r="G65" i="14"/>
  <c r="K65" i="14"/>
  <c r="L65" i="14"/>
  <c r="M65" i="14"/>
  <c r="E66" i="14"/>
  <c r="G66" i="14"/>
  <c r="K66" i="14"/>
  <c r="L66" i="14"/>
  <c r="M66" i="14"/>
  <c r="E67" i="14"/>
  <c r="G67" i="14"/>
  <c r="K67" i="14"/>
  <c r="L67" i="14"/>
  <c r="M67" i="14"/>
  <c r="E68" i="14"/>
  <c r="G68" i="14"/>
  <c r="K68" i="14"/>
  <c r="L68" i="14"/>
  <c r="M68" i="14"/>
  <c r="E69" i="14"/>
  <c r="G69" i="14"/>
  <c r="K69" i="14"/>
  <c r="L69" i="14"/>
  <c r="M69" i="14"/>
  <c r="E70" i="14"/>
  <c r="G70" i="14"/>
  <c r="K70" i="14"/>
  <c r="L70" i="14"/>
  <c r="M70" i="14"/>
</calcChain>
</file>

<file path=xl/sharedStrings.xml><?xml version="1.0" encoding="utf-8"?>
<sst xmlns="http://schemas.openxmlformats.org/spreadsheetml/2006/main" count="303" uniqueCount="174">
  <si>
    <t>head</t>
  </si>
  <si>
    <t>Per Cow</t>
  </si>
  <si>
    <t>Lbs Per Day</t>
  </si>
  <si>
    <t xml:space="preserve">Price </t>
  </si>
  <si>
    <t>Cost</t>
  </si>
  <si>
    <t>Description</t>
  </si>
  <si>
    <t>Unit</t>
  </si>
  <si>
    <t xml:space="preserve">Days </t>
  </si>
  <si>
    <t xml:space="preserve"> Per Unit </t>
  </si>
  <si>
    <t xml:space="preserve">Per Cow </t>
  </si>
  <si>
    <t xml:space="preserve">Per Herd </t>
  </si>
  <si>
    <t>Alfalfa Hay</t>
  </si>
  <si>
    <t>tons</t>
  </si>
  <si>
    <t>Grass Hay</t>
  </si>
  <si>
    <t>Grain/Concentrates</t>
  </si>
  <si>
    <t>lbs</t>
  </si>
  <si>
    <t>Protein Supplements</t>
  </si>
  <si>
    <t>Salt/Mineral</t>
  </si>
  <si>
    <t>Other Livestock Feed</t>
  </si>
  <si>
    <t>Subtotal of Livestock Feed</t>
  </si>
  <si>
    <t>Fert. &amp; Chem.</t>
  </si>
  <si>
    <t>acre</t>
  </si>
  <si>
    <t>Irrigation Supplies</t>
  </si>
  <si>
    <t>M&amp;R Land and Bldgs.</t>
  </si>
  <si>
    <t>dollars</t>
  </si>
  <si>
    <t>Insur. (Bld, Mach., Lvst.)</t>
  </si>
  <si>
    <t xml:space="preserve">Per Unit </t>
  </si>
  <si>
    <t>Calf Vaccines</t>
  </si>
  <si>
    <t>each</t>
  </si>
  <si>
    <t>Breeding Vaccines</t>
  </si>
  <si>
    <t>Other Vaccines</t>
  </si>
  <si>
    <t>Pregnancy Test</t>
  </si>
  <si>
    <t>Bull Fertility Test</t>
  </si>
  <si>
    <t>Medical Supplies</t>
  </si>
  <si>
    <t>Subtotal of Livestock Medical and Breeding</t>
  </si>
  <si>
    <t>Livestock Supplies</t>
  </si>
  <si>
    <t>Feeding Supplies</t>
  </si>
  <si>
    <t>Tack</t>
  </si>
  <si>
    <t>Ear Tags</t>
  </si>
  <si>
    <t>Subtotal of Livestock Supplies</t>
  </si>
  <si>
    <t>Marketing</t>
  </si>
  <si>
    <t>Freight and Trucking</t>
  </si>
  <si>
    <t>Selling Comm/Yardage</t>
  </si>
  <si>
    <t>Brand Inspection</t>
  </si>
  <si>
    <t>Health Inspection</t>
  </si>
  <si>
    <t>Lodging/Meals Etc.</t>
  </si>
  <si>
    <t>Hedging Expense</t>
  </si>
  <si>
    <t>Subtotal of Marketing</t>
  </si>
  <si>
    <t>Machinery &amp; Equipment</t>
  </si>
  <si>
    <t>Fuel and Lubrication</t>
  </si>
  <si>
    <t>Maint. and Repairs</t>
  </si>
  <si>
    <t>Equipment Leases</t>
  </si>
  <si>
    <t>Machine Hire</t>
  </si>
  <si>
    <t>Labor</t>
  </si>
  <si>
    <t>Wages</t>
  </si>
  <si>
    <t>FICA</t>
  </si>
  <si>
    <t>Contract Labor</t>
  </si>
  <si>
    <t>Professional Fees</t>
  </si>
  <si>
    <t>Workman's Comp</t>
  </si>
  <si>
    <t>Steers</t>
  </si>
  <si>
    <t>Heifers</t>
  </si>
  <si>
    <t>Head</t>
  </si>
  <si>
    <t>Weight</t>
  </si>
  <si>
    <t>Other</t>
  </si>
  <si>
    <t>Other Interest</t>
  </si>
  <si>
    <t>Interest</t>
  </si>
  <si>
    <t xml:space="preserve">Quantity </t>
  </si>
  <si>
    <t>Rate</t>
  </si>
  <si>
    <t>Subtotal of Labor</t>
  </si>
  <si>
    <t xml:space="preserve">Subtotal of Machinery and Equipment </t>
  </si>
  <si>
    <t xml:space="preserve">Subtotal of Interest </t>
  </si>
  <si>
    <t>Subtotal of Land</t>
  </si>
  <si>
    <t>Total</t>
  </si>
  <si>
    <t>Cull Cows</t>
  </si>
  <si>
    <t>Cull Bulls</t>
  </si>
  <si>
    <t>GROSS REVENUES FROM PRODUCTION</t>
  </si>
  <si>
    <t>Animal</t>
  </si>
  <si>
    <t>Type</t>
  </si>
  <si>
    <t xml:space="preserve">Avg. Mkt </t>
  </si>
  <si>
    <t xml:space="preserve">Weight </t>
  </si>
  <si>
    <t xml:space="preserve">lbs </t>
  </si>
  <si>
    <t xml:space="preserve">Net Sale </t>
  </si>
  <si>
    <t xml:space="preserve">Value </t>
  </si>
  <si>
    <t xml:space="preserve">Per Head </t>
  </si>
  <si>
    <t xml:space="preserve">$/Hd </t>
  </si>
  <si>
    <t xml:space="preserve">Total </t>
  </si>
  <si>
    <t xml:space="preserve">$ </t>
  </si>
  <si>
    <t xml:space="preserve">$/Cwt </t>
  </si>
  <si>
    <t>Depreciation - Bldg &amp; Equip</t>
  </si>
  <si>
    <t>Depreciation - Bulls</t>
  </si>
  <si>
    <t>Depreciation - Other</t>
  </si>
  <si>
    <t>Weaning</t>
  </si>
  <si>
    <t xml:space="preserve">Percent </t>
  </si>
  <si>
    <t>PRODUCTION ASSUMPTIONS</t>
  </si>
  <si>
    <t>Cow Death Loss</t>
  </si>
  <si>
    <t>Weaned Calf Crop</t>
  </si>
  <si>
    <t>Yearling Heifers</t>
  </si>
  <si>
    <t>Exposed Females (Cows &amp; Heifers)</t>
  </si>
  <si>
    <t>Percentage Steers</t>
  </si>
  <si>
    <t>MANAGEMENT PRACTICES</t>
  </si>
  <si>
    <t>Principal</t>
  </si>
  <si>
    <t>Machinery and Equipment</t>
  </si>
  <si>
    <t>Land</t>
  </si>
  <si>
    <t>Gross Revenues</t>
  </si>
  <si>
    <t>Annual Cow Carrying Costs</t>
  </si>
  <si>
    <t>Replacement Heifers Retained</t>
  </si>
  <si>
    <t>Cows Per Bull</t>
  </si>
  <si>
    <t>Cow Replacement Rate</t>
  </si>
  <si>
    <t>Bull Replacement Rate</t>
  </si>
  <si>
    <t>PRODUCTION SUMMARY</t>
  </si>
  <si>
    <t>Pasture (owned)</t>
  </si>
  <si>
    <t>Pasture (leased)</t>
  </si>
  <si>
    <t>Pasture (public)</t>
  </si>
  <si>
    <t>LAND EXPENSES</t>
  </si>
  <si>
    <t xml:space="preserve">Price  </t>
  </si>
  <si>
    <t xml:space="preserve">Per Unit  </t>
  </si>
  <si>
    <t>LIVESTOCK MEDICAL &amp; BREEDING EXPENSES</t>
  </si>
  <si>
    <t>calves</t>
  </si>
  <si>
    <t>cows</t>
  </si>
  <si>
    <t>bulls</t>
  </si>
  <si>
    <t>LIVESTOCK SUPPLIES</t>
  </si>
  <si>
    <t>MARKETING</t>
  </si>
  <si>
    <t>miles</t>
  </si>
  <si>
    <t>LABOR</t>
  </si>
  <si>
    <t>Employee Benefits</t>
  </si>
  <si>
    <t>INTEREST</t>
  </si>
  <si>
    <t>Operating Borrowings</t>
  </si>
  <si>
    <t>Non-Real Estate</t>
  </si>
  <si>
    <t>Real Estate</t>
  </si>
  <si>
    <t>BEEF COW/CALF ENTERPRISE BUDGET</t>
  </si>
  <si>
    <t>Estimated Costs and Returns - San Luis Valley</t>
  </si>
  <si>
    <t xml:space="preserve">Per Cow  </t>
  </si>
  <si>
    <t xml:space="preserve">Total  </t>
  </si>
  <si>
    <t>DIRECT CASH OPERATING EXPENSES</t>
  </si>
  <si>
    <t>Livestock Medical and Breeding</t>
  </si>
  <si>
    <t>Total Direct Cash Operating Expenses</t>
  </si>
  <si>
    <t>NET RECEIPTS</t>
  </si>
  <si>
    <t>Net Receipts</t>
  </si>
  <si>
    <t>1. Calves born March-May and weaned and sold October/November.</t>
  </si>
  <si>
    <t>PURCHASED FEED</t>
  </si>
  <si>
    <t>PASTURE</t>
  </si>
  <si>
    <t>aums</t>
  </si>
  <si>
    <t>Term</t>
  </si>
  <si>
    <t>(years)</t>
  </si>
  <si>
    <t>Purchased Feed and Pasture</t>
  </si>
  <si>
    <t>Number of Bulls (head)</t>
  </si>
  <si>
    <t>Yearling Heifers Sold (head)</t>
  </si>
  <si>
    <t>Heifers Sold (head)</t>
  </si>
  <si>
    <t>Heifers Retained (head)</t>
  </si>
  <si>
    <t>Total Heifers (head)</t>
  </si>
  <si>
    <t>Steers (head)</t>
  </si>
  <si>
    <t>Total Calves Weaned (head)</t>
  </si>
  <si>
    <t>2. Feeding  Period = 5 Months (Dec, Jan, Feb, Mar, Apr) / Grazing Period = 7 months</t>
  </si>
  <si>
    <t>TOTAL ANNUAL "COW COSTS"</t>
  </si>
  <si>
    <t>Subtotal of Depreciation</t>
  </si>
  <si>
    <t>DEPRECIATION</t>
  </si>
  <si>
    <t>OVERHEAD</t>
  </si>
  <si>
    <t>Overhead Charge</t>
  </si>
  <si>
    <t>Non-Cash Expenses (Depreciation)</t>
  </si>
  <si>
    <t>General Overhead</t>
  </si>
  <si>
    <t>Calculation: Annual Cow Costs divided by Weaning Weight times Weaning Percent.</t>
  </si>
  <si>
    <t>Rider, salt, and grass for 5 months = $45/cow</t>
  </si>
  <si>
    <t>$1.35 per aum for 4 months</t>
  </si>
  <si>
    <t>At preg checking</t>
  </si>
  <si>
    <t>Fertility = $47 +Tric=$32 + Vaccines=$13.60</t>
  </si>
  <si>
    <t>Total hay is a mix of alfalfa and other. 35 lbs/day.</t>
  </si>
  <si>
    <t>Three vaccines given twice per year</t>
  </si>
  <si>
    <t>Misc supplies, extra/wasted vaccines, misc medicines, etc.</t>
  </si>
  <si>
    <t>Included in "family living"</t>
  </si>
  <si>
    <t>Number of Bulls</t>
  </si>
  <si>
    <t>Steer Calves</t>
  </si>
  <si>
    <t>Heifer Calves</t>
  </si>
  <si>
    <t>BREAK-EVEN PRICES FOR CALVES (average price for all calves sold)</t>
  </si>
  <si>
    <t>Avg. Weaning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</si>
</sst>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71" formatCode="_(* #,##0_);_(* \(#,##0\);_(* &quot;-&quot;??_);_(@_)"/>
    <numFmt numFmtId="172" formatCode="0.00_)"/>
    <numFmt numFmtId="173" formatCode="0_)"/>
    <numFmt numFmtId="191" formatCode="0_);[Red]\(0\)"/>
  </numFmts>
  <fonts count="15" x14ac:knownFonts="1">
    <font>
      <sz val="10"/>
      <name val="Arial"/>
    </font>
    <font>
      <sz val="10"/>
      <name val="Arial"/>
    </font>
    <font>
      <sz val="12"/>
      <name val="Helv"/>
    </font>
    <font>
      <sz val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rgb="FF008000"/>
      <name val="Arial Rounded MT Bold"/>
      <family val="2"/>
    </font>
    <font>
      <b/>
      <sz val="14"/>
      <name val="Calibri"/>
      <family val="2"/>
      <scheme val="minor"/>
    </font>
    <font>
      <b/>
      <sz val="14"/>
      <color rgb="FF008000"/>
      <name val="Arial Rounded MT Bold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7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9" fontId="6" fillId="2" borderId="5" xfId="4" applyFont="1" applyFill="1" applyBorder="1" applyAlignment="1" applyProtection="1">
      <alignment horizontal="center" vertical="center"/>
      <protection locked="0"/>
    </xf>
    <xf numFmtId="9" fontId="7" fillId="0" borderId="6" xfId="4" applyFont="1" applyFill="1" applyBorder="1" applyAlignment="1">
      <alignment horizontal="center" vertical="center"/>
    </xf>
    <xf numFmtId="9" fontId="7" fillId="0" borderId="0" xfId="4" applyFont="1" applyFill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3" fontId="7" fillId="0" borderId="0" xfId="1" applyNumberFormat="1" applyFont="1" applyFill="1" applyBorder="1" applyAlignment="1">
      <alignment vertical="center"/>
    </xf>
    <xf numFmtId="43" fontId="4" fillId="0" borderId="0" xfId="0" applyNumberFormat="1" applyFont="1" applyBorder="1" applyAlignment="1">
      <alignment vertical="center"/>
    </xf>
    <xf numFmtId="43" fontId="4" fillId="0" borderId="6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43" fontId="7" fillId="0" borderId="10" xfId="1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44" fontId="4" fillId="0" borderId="9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9" fontId="7" fillId="0" borderId="4" xfId="4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4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171" fontId="6" fillId="0" borderId="10" xfId="1" applyNumberFormat="1" applyFont="1" applyFill="1" applyBorder="1" applyAlignment="1" applyProtection="1">
      <alignment vertical="center"/>
      <protection locked="0"/>
    </xf>
    <xf numFmtId="43" fontId="6" fillId="0" borderId="10" xfId="1" applyNumberFormat="1" applyFont="1" applyFill="1" applyBorder="1" applyAlignment="1" applyProtection="1">
      <alignment vertical="center"/>
      <protection locked="0"/>
    </xf>
    <xf numFmtId="43" fontId="4" fillId="0" borderId="10" xfId="0" applyNumberFormat="1" applyFont="1" applyFill="1" applyBorder="1" applyAlignment="1">
      <alignment vertical="center"/>
    </xf>
    <xf numFmtId="171" fontId="6" fillId="2" borderId="5" xfId="1" applyNumberFormat="1" applyFont="1" applyFill="1" applyBorder="1" applyAlignment="1" applyProtection="1">
      <alignment vertical="center"/>
      <protection locked="0"/>
    </xf>
    <xf numFmtId="43" fontId="6" fillId="2" borderId="5" xfId="1" applyNumberFormat="1" applyFont="1" applyFill="1" applyBorder="1" applyAlignment="1" applyProtection="1">
      <alignment vertical="center"/>
      <protection locked="0"/>
    </xf>
    <xf numFmtId="171" fontId="4" fillId="0" borderId="0" xfId="0" applyNumberFormat="1" applyFont="1" applyBorder="1" applyAlignment="1">
      <alignment vertical="center"/>
    </xf>
    <xf numFmtId="171" fontId="8" fillId="2" borderId="5" xfId="1" applyNumberFormat="1" applyFont="1" applyFill="1" applyBorder="1" applyAlignment="1" applyProtection="1">
      <alignment vertical="center"/>
      <protection locked="0"/>
    </xf>
    <xf numFmtId="171" fontId="4" fillId="0" borderId="10" xfId="0" applyNumberFormat="1" applyFont="1" applyFill="1" applyBorder="1" applyAlignment="1">
      <alignment vertical="center"/>
    </xf>
    <xf numFmtId="0" fontId="4" fillId="0" borderId="2" xfId="3" applyFont="1" applyBorder="1" applyAlignment="1" applyProtection="1">
      <alignment horizontal="right" vertical="center"/>
    </xf>
    <xf numFmtId="0" fontId="4" fillId="0" borderId="11" xfId="3" applyFont="1" applyBorder="1" applyAlignment="1" applyProtection="1">
      <alignment horizontal="left" vertical="center"/>
    </xf>
    <xf numFmtId="0" fontId="4" fillId="0" borderId="11" xfId="3" applyFont="1" applyBorder="1" applyAlignment="1" applyProtection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0" fontId="4" fillId="0" borderId="12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center" vertical="center"/>
    </xf>
    <xf numFmtId="0" fontId="4" fillId="0" borderId="11" xfId="3" applyFont="1" applyBorder="1" applyAlignment="1" applyProtection="1">
      <alignment horizontal="center" vertical="center"/>
    </xf>
    <xf numFmtId="38" fontId="4" fillId="0" borderId="0" xfId="3" applyNumberFormat="1" applyFont="1" applyBorder="1" applyAlignment="1" applyProtection="1">
      <alignment vertical="center"/>
    </xf>
    <xf numFmtId="40" fontId="4" fillId="0" borderId="0" xfId="1" applyNumberFormat="1" applyFont="1" applyFill="1" applyBorder="1" applyAlignment="1" applyProtection="1">
      <alignment vertical="center"/>
    </xf>
    <xf numFmtId="40" fontId="4" fillId="0" borderId="12" xfId="1" applyNumberFormat="1" applyFont="1" applyFill="1" applyBorder="1" applyAlignment="1" applyProtection="1">
      <alignment vertical="center"/>
    </xf>
    <xf numFmtId="44" fontId="4" fillId="0" borderId="8" xfId="2" applyNumberFormat="1" applyFont="1" applyBorder="1" applyAlignment="1" applyProtection="1">
      <alignment vertical="center"/>
    </xf>
    <xf numFmtId="42" fontId="4" fillId="0" borderId="8" xfId="2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vertical="center"/>
    </xf>
    <xf numFmtId="0" fontId="4" fillId="0" borderId="3" xfId="3" applyFont="1" applyBorder="1" applyAlignment="1" applyProtection="1">
      <alignment vertical="center"/>
    </xf>
    <xf numFmtId="38" fontId="4" fillId="0" borderId="12" xfId="3" applyNumberFormat="1" applyFont="1" applyBorder="1" applyAlignment="1" applyProtection="1">
      <alignment vertical="center"/>
    </xf>
    <xf numFmtId="0" fontId="4" fillId="0" borderId="8" xfId="3" applyFont="1" applyBorder="1" applyAlignment="1" applyProtection="1">
      <alignment vertical="center"/>
    </xf>
    <xf numFmtId="44" fontId="4" fillId="0" borderId="8" xfId="3" applyNumberFormat="1" applyFont="1" applyBorder="1" applyAlignment="1" applyProtection="1">
      <alignment vertical="center"/>
    </xf>
    <xf numFmtId="42" fontId="4" fillId="0" borderId="8" xfId="3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horizontal="center" vertical="center"/>
    </xf>
    <xf numFmtId="40" fontId="4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Fill="1" applyBorder="1" applyAlignment="1" applyProtection="1">
      <alignment vertical="center"/>
    </xf>
    <xf numFmtId="37" fontId="4" fillId="0" borderId="0" xfId="3" applyNumberFormat="1" applyFont="1" applyBorder="1" applyAlignment="1" applyProtection="1">
      <alignment vertical="center"/>
    </xf>
    <xf numFmtId="172" fontId="4" fillId="0" borderId="12" xfId="3" applyNumberFormat="1" applyFont="1" applyFill="1" applyBorder="1" applyAlignment="1" applyProtection="1">
      <alignment vertical="center"/>
    </xf>
    <xf numFmtId="37" fontId="4" fillId="0" borderId="12" xfId="3" applyNumberFormat="1" applyFont="1" applyBorder="1" applyAlignment="1" applyProtection="1">
      <alignment vertical="center"/>
    </xf>
    <xf numFmtId="0" fontId="4" fillId="0" borderId="1" xfId="3" applyFont="1" applyBorder="1" applyAlignment="1" applyProtection="1">
      <alignment vertical="center"/>
    </xf>
    <xf numFmtId="0" fontId="4" fillId="0" borderId="4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horizontal="right" vertical="center"/>
    </xf>
    <xf numFmtId="0" fontId="4" fillId="0" borderId="6" xfId="3" applyFont="1" applyBorder="1" applyAlignment="1" applyProtection="1">
      <alignment vertical="center"/>
    </xf>
    <xf numFmtId="171" fontId="4" fillId="0" borderId="0" xfId="1" applyNumberFormat="1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vertical="center"/>
    </xf>
    <xf numFmtId="0" fontId="4" fillId="0" borderId="10" xfId="3" applyFont="1" applyBorder="1" applyAlignment="1" applyProtection="1">
      <alignment vertical="center"/>
    </xf>
    <xf numFmtId="40" fontId="4" fillId="0" borderId="10" xfId="1" applyNumberFormat="1" applyFont="1" applyBorder="1" applyAlignment="1" applyProtection="1">
      <alignment vertical="center"/>
    </xf>
    <xf numFmtId="0" fontId="4" fillId="0" borderId="7" xfId="3" applyFont="1" applyBorder="1" applyAlignment="1" applyProtection="1">
      <alignment vertical="center"/>
    </xf>
    <xf numFmtId="0" fontId="4" fillId="0" borderId="9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horizontal="right" vertical="center"/>
    </xf>
    <xf numFmtId="40" fontId="6" fillId="2" borderId="5" xfId="1" applyNumberFormat="1" applyFont="1" applyFill="1" applyBorder="1" applyAlignment="1" applyProtection="1">
      <alignment horizontal="right" vertical="center"/>
      <protection locked="0"/>
    </xf>
    <xf numFmtId="38" fontId="6" fillId="2" borderId="5" xfId="3" applyNumberFormat="1" applyFont="1" applyFill="1" applyBorder="1" applyAlignment="1" applyProtection="1">
      <alignment horizontal="right" vertical="center"/>
      <protection locked="0"/>
    </xf>
    <xf numFmtId="0" fontId="4" fillId="0" borderId="12" xfId="3" applyFont="1" applyFill="1" applyBorder="1" applyAlignment="1" applyProtection="1">
      <alignment horizontal="left" vertical="center"/>
    </xf>
    <xf numFmtId="40" fontId="6" fillId="0" borderId="0" xfId="1" applyNumberFormat="1" applyFont="1" applyFill="1" applyBorder="1" applyAlignment="1" applyProtection="1">
      <alignment horizontal="right" vertical="center"/>
      <protection locked="0"/>
    </xf>
    <xf numFmtId="38" fontId="6" fillId="0" borderId="0" xfId="3" applyNumberFormat="1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center" vertical="center"/>
    </xf>
    <xf numFmtId="40" fontId="8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3" applyNumberFormat="1" applyFont="1" applyFill="1" applyBorder="1" applyAlignment="1" applyProtection="1">
      <alignment vertical="center"/>
      <protection locked="0"/>
    </xf>
    <xf numFmtId="38" fontId="4" fillId="0" borderId="12" xfId="3" applyNumberFormat="1" applyFont="1" applyFill="1" applyBorder="1" applyAlignment="1" applyProtection="1">
      <alignment vertical="center"/>
    </xf>
    <xf numFmtId="40" fontId="6" fillId="2" borderId="5" xfId="3" applyNumberFormat="1" applyFont="1" applyFill="1" applyBorder="1" applyAlignment="1" applyProtection="1">
      <alignment vertical="center"/>
      <protection locked="0"/>
    </xf>
    <xf numFmtId="10" fontId="6" fillId="2" borderId="5" xfId="4" applyNumberFormat="1" applyFont="1" applyFill="1" applyBorder="1" applyAlignment="1" applyProtection="1">
      <alignment vertical="center"/>
      <protection locked="0"/>
    </xf>
    <xf numFmtId="37" fontId="4" fillId="0" borderId="12" xfId="3" applyNumberFormat="1" applyFont="1" applyFill="1" applyBorder="1" applyAlignment="1" applyProtection="1">
      <alignment vertical="center"/>
    </xf>
    <xf numFmtId="40" fontId="4" fillId="0" borderId="0" xfId="1" applyNumberFormat="1" applyFont="1" applyBorder="1" applyAlignment="1" applyProtection="1">
      <alignment vertical="center"/>
    </xf>
    <xf numFmtId="172" fontId="6" fillId="2" borderId="5" xfId="3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4" fillId="0" borderId="0" xfId="0" applyNumberFormat="1" applyFont="1" applyBorder="1" applyAlignment="1">
      <alignment vertical="center"/>
    </xf>
    <xf numFmtId="40" fontId="4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6" fontId="5" fillId="0" borderId="8" xfId="0" applyNumberFormat="1" applyFont="1" applyBorder="1" applyAlignment="1">
      <alignment vertical="center"/>
    </xf>
    <xf numFmtId="8" fontId="5" fillId="0" borderId="8" xfId="0" applyNumberFormat="1" applyFont="1" applyBorder="1" applyAlignment="1">
      <alignment vertical="center"/>
    </xf>
    <xf numFmtId="8" fontId="4" fillId="0" borderId="8" xfId="2" applyNumberFormat="1" applyFont="1" applyBorder="1" applyAlignment="1">
      <alignment vertical="center"/>
    </xf>
    <xf numFmtId="6" fontId="4" fillId="0" borderId="8" xfId="2" applyNumberFormat="1" applyFont="1" applyBorder="1" applyAlignment="1">
      <alignment vertical="center"/>
    </xf>
    <xf numFmtId="0" fontId="5" fillId="0" borderId="0" xfId="3" applyFont="1" applyAlignment="1" applyProtection="1">
      <alignment vertical="center" textRotation="90"/>
    </xf>
    <xf numFmtId="0" fontId="4" fillId="0" borderId="0" xfId="3" applyFont="1" applyAlignment="1" applyProtection="1">
      <alignment vertical="center"/>
    </xf>
    <xf numFmtId="0" fontId="5" fillId="0" borderId="0" xfId="3" applyFont="1" applyAlignment="1" applyProtection="1">
      <alignment vertical="center"/>
    </xf>
    <xf numFmtId="0" fontId="4" fillId="0" borderId="0" xfId="3" applyFont="1" applyAlignment="1" applyProtection="1">
      <alignment horizontal="right" vertical="center"/>
    </xf>
    <xf numFmtId="0" fontId="7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5" fillId="0" borderId="6" xfId="3" applyFont="1" applyBorder="1" applyAlignment="1" applyProtection="1">
      <alignment vertical="center" textRotation="90"/>
    </xf>
    <xf numFmtId="0" fontId="4" fillId="0" borderId="13" xfId="3" applyFont="1" applyBorder="1" applyAlignment="1" applyProtection="1">
      <alignment horizontal="center" vertical="center"/>
    </xf>
    <xf numFmtId="171" fontId="4" fillId="0" borderId="13" xfId="1" applyNumberFormat="1" applyFont="1" applyBorder="1" applyAlignment="1" applyProtection="1">
      <alignment horizontal="right" vertical="center"/>
    </xf>
    <xf numFmtId="171" fontId="4" fillId="0" borderId="0" xfId="1" applyNumberFormat="1" applyFont="1" applyBorder="1" applyAlignment="1" applyProtection="1">
      <alignment horizontal="right" vertical="center"/>
    </xf>
    <xf numFmtId="38" fontId="4" fillId="0" borderId="0" xfId="1" applyNumberFormat="1" applyFont="1" applyBorder="1" applyAlignment="1" applyProtection="1">
      <alignment vertical="center"/>
    </xf>
    <xf numFmtId="40" fontId="6" fillId="0" borderId="0" xfId="1" applyNumberFormat="1" applyFont="1" applyFill="1" applyBorder="1" applyAlignment="1" applyProtection="1">
      <alignment horizontal="right" vertical="center"/>
    </xf>
    <xf numFmtId="38" fontId="6" fillId="0" borderId="0" xfId="3" applyNumberFormat="1" applyFont="1" applyFill="1" applyBorder="1" applyAlignment="1" applyProtection="1">
      <alignment horizontal="right" vertical="center"/>
    </xf>
    <xf numFmtId="0" fontId="4" fillId="0" borderId="10" xfId="3" applyFont="1" applyFill="1" applyBorder="1" applyAlignment="1" applyProtection="1">
      <alignment horizontal="center" vertical="center"/>
    </xf>
    <xf numFmtId="40" fontId="6" fillId="0" borderId="10" xfId="1" applyNumberFormat="1" applyFont="1" applyFill="1" applyBorder="1" applyAlignment="1" applyProtection="1">
      <alignment horizontal="right" vertical="center"/>
    </xf>
    <xf numFmtId="38" fontId="6" fillId="0" borderId="10" xfId="3" applyNumberFormat="1" applyFont="1" applyFill="1" applyBorder="1" applyAlignment="1" applyProtection="1">
      <alignment horizontal="right" vertical="center"/>
    </xf>
    <xf numFmtId="40" fontId="4" fillId="0" borderId="10" xfId="1" applyNumberFormat="1" applyFont="1" applyFill="1" applyBorder="1" applyAlignment="1" applyProtection="1">
      <alignment vertical="center"/>
    </xf>
    <xf numFmtId="38" fontId="4" fillId="0" borderId="10" xfId="1" applyNumberFormat="1" applyFont="1" applyFill="1" applyBorder="1" applyAlignment="1" applyProtection="1">
      <alignment vertical="center"/>
    </xf>
    <xf numFmtId="40" fontId="4" fillId="0" borderId="8" xfId="3" applyNumberFormat="1" applyFont="1" applyBorder="1" applyAlignment="1" applyProtection="1">
      <alignment horizontal="right" vertical="center"/>
    </xf>
    <xf numFmtId="44" fontId="4" fillId="0" borderId="8" xfId="2" applyFont="1" applyBorder="1" applyAlignment="1" applyProtection="1">
      <alignment horizontal="center" vertical="center"/>
    </xf>
    <xf numFmtId="42" fontId="4" fillId="0" borderId="8" xfId="2" applyNumberFormat="1" applyFont="1" applyBorder="1" applyAlignment="1" applyProtection="1">
      <alignment horizontal="center" vertical="center"/>
    </xf>
    <xf numFmtId="0" fontId="4" fillId="0" borderId="0" xfId="3" applyFont="1" applyAlignment="1" applyProtection="1">
      <alignment horizontal="center" vertical="center"/>
    </xf>
    <xf numFmtId="0" fontId="4" fillId="0" borderId="12" xfId="3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vertical="center"/>
    </xf>
    <xf numFmtId="38" fontId="4" fillId="0" borderId="0" xfId="3" applyNumberFormat="1" applyFont="1" applyFill="1" applyBorder="1" applyAlignment="1" applyProtection="1">
      <alignment vertical="center"/>
    </xf>
    <xf numFmtId="40" fontId="4" fillId="0" borderId="0" xfId="3" applyNumberFormat="1" applyFont="1" applyBorder="1" applyAlignment="1" applyProtection="1">
      <alignment vertical="center"/>
    </xf>
    <xf numFmtId="38" fontId="4" fillId="0" borderId="0" xfId="1" applyNumberFormat="1" applyFont="1" applyFill="1" applyBorder="1" applyAlignment="1" applyProtection="1">
      <alignment vertical="center"/>
    </xf>
    <xf numFmtId="0" fontId="6" fillId="0" borderId="12" xfId="3" applyFont="1" applyFill="1" applyBorder="1" applyAlignment="1" applyProtection="1">
      <alignment horizontal="center" vertical="center"/>
    </xf>
    <xf numFmtId="38" fontId="6" fillId="0" borderId="12" xfId="3" applyNumberFormat="1" applyFont="1" applyFill="1" applyBorder="1" applyAlignment="1" applyProtection="1">
      <alignment vertical="center"/>
    </xf>
    <xf numFmtId="40" fontId="6" fillId="0" borderId="12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40" fontId="6" fillId="0" borderId="0" xfId="3" applyNumberFormat="1" applyFont="1" applyFill="1" applyBorder="1" applyAlignment="1" applyProtection="1">
      <alignment vertical="center"/>
    </xf>
    <xf numFmtId="38" fontId="6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Border="1" applyAlignment="1" applyProtection="1">
      <alignment vertical="center"/>
    </xf>
    <xf numFmtId="10" fontId="6" fillId="2" borderId="5" xfId="4" applyNumberFormat="1" applyFont="1" applyFill="1" applyBorder="1" applyAlignment="1" applyProtection="1">
      <alignment vertical="center"/>
    </xf>
    <xf numFmtId="0" fontId="6" fillId="0" borderId="0" xfId="3" applyFont="1" applyFill="1" applyBorder="1" applyAlignment="1" applyProtection="1">
      <alignment horizontal="center" vertical="center"/>
    </xf>
    <xf numFmtId="0" fontId="6" fillId="0" borderId="10" xfId="3" applyFont="1" applyFill="1" applyBorder="1" applyAlignment="1" applyProtection="1">
      <alignment horizontal="center" vertical="center"/>
    </xf>
    <xf numFmtId="38" fontId="6" fillId="0" borderId="10" xfId="3" applyNumberFormat="1" applyFont="1" applyFill="1" applyBorder="1" applyAlignment="1" applyProtection="1">
      <alignment vertical="center"/>
    </xf>
    <xf numFmtId="40" fontId="6" fillId="0" borderId="10" xfId="3" applyNumberFormat="1" applyFont="1" applyFill="1" applyBorder="1" applyAlignment="1" applyProtection="1">
      <alignment vertical="center"/>
    </xf>
    <xf numFmtId="10" fontId="6" fillId="0" borderId="0" xfId="4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vertical="center"/>
    </xf>
    <xf numFmtId="0" fontId="4" fillId="0" borderId="10" xfId="3" applyFont="1" applyFill="1" applyBorder="1" applyAlignment="1" applyProtection="1">
      <alignment vertical="center"/>
    </xf>
    <xf numFmtId="172" fontId="6" fillId="0" borderId="0" xfId="3" applyNumberFormat="1" applyFont="1" applyFill="1" applyBorder="1" applyAlignment="1" applyProtection="1">
      <alignment horizontal="center" vertical="center"/>
    </xf>
    <xf numFmtId="3" fontId="6" fillId="0" borderId="12" xfId="3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horizontal="center" vertical="center"/>
    </xf>
    <xf numFmtId="10" fontId="6" fillId="0" borderId="12" xfId="4" applyNumberFormat="1" applyFont="1" applyFill="1" applyBorder="1" applyAlignment="1" applyProtection="1">
      <alignment vertical="center"/>
    </xf>
    <xf numFmtId="171" fontId="6" fillId="0" borderId="12" xfId="1" applyNumberFormat="1" applyFont="1" applyFill="1" applyBorder="1" applyAlignment="1" applyProtection="1">
      <alignment vertical="center"/>
    </xf>
    <xf numFmtId="172" fontId="6" fillId="0" borderId="12" xfId="3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Border="1" applyAlignment="1" applyProtection="1">
      <alignment vertical="center"/>
    </xf>
    <xf numFmtId="38" fontId="4" fillId="0" borderId="0" xfId="3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indent="2"/>
    </xf>
    <xf numFmtId="0" fontId="4" fillId="0" borderId="0" xfId="0" applyFont="1" applyBorder="1" applyAlignment="1" applyProtection="1">
      <alignment horizontal="left" vertical="center" indent="2"/>
      <protection locked="0"/>
    </xf>
    <xf numFmtId="0" fontId="4" fillId="3" borderId="15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6" fontId="5" fillId="3" borderId="16" xfId="2" applyNumberFormat="1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38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9" fontId="4" fillId="0" borderId="0" xfId="4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3" fontId="4" fillId="0" borderId="0" xfId="1" applyNumberFormat="1" applyFont="1" applyFill="1" applyBorder="1" applyAlignment="1" applyProtection="1">
      <alignment vertical="center"/>
    </xf>
    <xf numFmtId="43" fontId="7" fillId="0" borderId="0" xfId="1" applyNumberFormat="1" applyFont="1" applyFill="1" applyBorder="1" applyAlignment="1" applyProtection="1">
      <alignment vertical="center"/>
    </xf>
    <xf numFmtId="43" fontId="4" fillId="0" borderId="0" xfId="0" applyNumberFormat="1" applyFont="1" applyBorder="1" applyAlignment="1" applyProtection="1">
      <alignment vertical="center"/>
    </xf>
    <xf numFmtId="171" fontId="4" fillId="0" borderId="0" xfId="0" applyNumberFormat="1" applyFont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center" vertical="center"/>
    </xf>
    <xf numFmtId="171" fontId="6" fillId="0" borderId="10" xfId="1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43" fontId="6" fillId="0" borderId="10" xfId="1" applyNumberFormat="1" applyFont="1" applyFill="1" applyBorder="1" applyAlignment="1" applyProtection="1">
      <alignment vertical="center"/>
    </xf>
    <xf numFmtId="43" fontId="7" fillId="0" borderId="10" xfId="1" applyNumberFormat="1" applyFont="1" applyFill="1" applyBorder="1" applyAlignment="1" applyProtection="1">
      <alignment vertical="center"/>
    </xf>
    <xf numFmtId="43" fontId="4" fillId="0" borderId="10" xfId="0" applyNumberFormat="1" applyFont="1" applyFill="1" applyBorder="1" applyAlignment="1" applyProtection="1">
      <alignment vertical="center"/>
    </xf>
    <xf numFmtId="171" fontId="4" fillId="0" borderId="10" xfId="0" applyNumberFormat="1" applyFont="1" applyFill="1" applyBorder="1" applyAlignment="1" applyProtection="1">
      <alignment vertical="center"/>
    </xf>
    <xf numFmtId="0" fontId="4" fillId="0" borderId="8" xfId="0" applyFont="1" applyBorder="1" applyAlignment="1" applyProtection="1">
      <alignment horizontal="center" vertical="center"/>
    </xf>
    <xf numFmtId="6" fontId="4" fillId="0" borderId="8" xfId="2" applyNumberFormat="1" applyFont="1" applyBorder="1" applyAlignment="1" applyProtection="1">
      <alignment vertical="center"/>
    </xf>
    <xf numFmtId="8" fontId="4" fillId="0" borderId="8" xfId="2" applyNumberFormat="1" applyFont="1" applyBorder="1" applyAlignment="1" applyProtection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2" xfId="0" applyFont="1" applyFill="1" applyBorder="1" applyAlignment="1" applyProtection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3" fillId="0" borderId="8" xfId="0" applyFont="1" applyFill="1" applyBorder="1" applyAlignment="1" applyProtection="1">
      <alignment horizontal="center" vertical="center"/>
    </xf>
    <xf numFmtId="37" fontId="13" fillId="0" borderId="8" xfId="1" applyNumberFormat="1" applyFont="1" applyFill="1" applyBorder="1" applyAlignment="1" applyProtection="1">
      <alignment horizontal="center" vertical="center"/>
    </xf>
    <xf numFmtId="0" fontId="12" fillId="0" borderId="6" xfId="0" applyFont="1" applyBorder="1" applyAlignment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39" fontId="12" fillId="0" borderId="0" xfId="0" applyNumberFormat="1" applyFont="1" applyFill="1" applyBorder="1" applyAlignment="1" applyProtection="1">
      <alignment horizontal="center" vertical="center"/>
    </xf>
    <xf numFmtId="39" fontId="12" fillId="0" borderId="2" xfId="0" applyNumberFormat="1" applyFont="1" applyFill="1" applyBorder="1" applyAlignment="1" applyProtection="1">
      <alignment vertical="center"/>
    </xf>
    <xf numFmtId="39" fontId="12" fillId="0" borderId="0" xfId="0" applyNumberFormat="1" applyFont="1" applyFill="1" applyBorder="1" applyAlignment="1" applyProtection="1">
      <alignment vertical="center"/>
    </xf>
    <xf numFmtId="0" fontId="13" fillId="0" borderId="26" xfId="0" applyFont="1" applyFill="1" applyBorder="1" applyAlignment="1" applyProtection="1">
      <alignment horizontal="center" vertical="center"/>
    </xf>
    <xf numFmtId="39" fontId="12" fillId="0" borderId="27" xfId="0" applyNumberFormat="1" applyFont="1" applyFill="1" applyBorder="1" applyAlignment="1" applyProtection="1">
      <alignment vertical="center"/>
    </xf>
    <xf numFmtId="0" fontId="12" fillId="0" borderId="0" xfId="0" applyFont="1" applyFill="1" applyAlignment="1">
      <alignment horizontal="center" vertical="center"/>
    </xf>
    <xf numFmtId="39" fontId="12" fillId="0" borderId="27" xfId="0" applyNumberFormat="1" applyFont="1" applyFill="1" applyBorder="1" applyAlignment="1" applyProtection="1">
      <alignment horizontal="center" vertical="center"/>
    </xf>
    <xf numFmtId="39" fontId="12" fillId="0" borderId="29" xfId="0" applyNumberFormat="1" applyFont="1" applyFill="1" applyBorder="1" applyAlignment="1" applyProtection="1">
      <alignment horizontal="center" vertical="center"/>
    </xf>
    <xf numFmtId="39" fontId="12" fillId="0" borderId="29" xfId="0" applyNumberFormat="1" applyFont="1" applyFill="1" applyBorder="1" applyAlignment="1" applyProtection="1">
      <alignment vertical="center"/>
    </xf>
    <xf numFmtId="0" fontId="12" fillId="0" borderId="29" xfId="0" applyFont="1" applyFill="1" applyBorder="1" applyAlignment="1">
      <alignment horizontal="center" vertical="center"/>
    </xf>
    <xf numFmtId="0" fontId="13" fillId="0" borderId="27" xfId="0" applyFont="1" applyFill="1" applyBorder="1" applyAlignment="1" applyProtection="1">
      <alignment horizontal="center" vertical="center"/>
    </xf>
    <xf numFmtId="0" fontId="12" fillId="0" borderId="7" xfId="0" applyFont="1" applyBorder="1" applyAlignment="1">
      <alignment vertical="center"/>
    </xf>
    <xf numFmtId="0" fontId="14" fillId="0" borderId="8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vertical="center"/>
    </xf>
    <xf numFmtId="0" fontId="12" fillId="0" borderId="31" xfId="0" applyFont="1" applyBorder="1" applyAlignment="1" applyProtection="1">
      <alignment vertical="center"/>
    </xf>
    <xf numFmtId="0" fontId="12" fillId="0" borderId="8" xfId="0" applyFont="1" applyFill="1" applyBorder="1" applyAlignment="1" applyProtection="1">
      <alignment vertical="center"/>
    </xf>
    <xf numFmtId="0" fontId="12" fillId="0" borderId="3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191" fontId="4" fillId="0" borderId="0" xfId="4" applyNumberFormat="1" applyFont="1" applyFill="1" applyBorder="1" applyAlignment="1" applyProtection="1">
      <alignment horizontal="right" vertical="center"/>
    </xf>
    <xf numFmtId="39" fontId="12" fillId="0" borderId="0" xfId="0" applyNumberFormat="1" applyFont="1" applyFill="1" applyBorder="1" applyAlignment="1" applyProtection="1">
      <alignment horizontal="center" vertical="center"/>
    </xf>
    <xf numFmtId="39" fontId="12" fillId="0" borderId="29" xfId="0" applyNumberFormat="1" applyFont="1" applyFill="1" applyBorder="1" applyAlignment="1" applyProtection="1">
      <alignment horizontal="center" vertical="center"/>
    </xf>
    <xf numFmtId="39" fontId="12" fillId="0" borderId="27" xfId="0" applyNumberFormat="1" applyFont="1" applyFill="1" applyBorder="1" applyAlignment="1" applyProtection="1">
      <alignment horizontal="center" vertical="center"/>
    </xf>
    <xf numFmtId="37" fontId="13" fillId="0" borderId="25" xfId="1" applyNumberFormat="1" applyFont="1" applyFill="1" applyBorder="1" applyAlignment="1" applyProtection="1">
      <alignment horizontal="center" vertical="center"/>
    </xf>
    <xf numFmtId="9" fontId="13" fillId="0" borderId="0" xfId="0" applyNumberFormat="1" applyFont="1" applyFill="1" applyBorder="1" applyAlignment="1" applyProtection="1">
      <alignment horizontal="center" vertical="center"/>
    </xf>
    <xf numFmtId="9" fontId="13" fillId="0" borderId="26" xfId="0" applyNumberFormat="1" applyFont="1" applyFill="1" applyBorder="1" applyAlignment="1" applyProtection="1">
      <alignment horizontal="center" vertical="center"/>
    </xf>
    <xf numFmtId="9" fontId="13" fillId="0" borderId="28" xfId="0" applyNumberFormat="1" applyFont="1" applyFill="1" applyBorder="1" applyAlignment="1" applyProtection="1">
      <alignment horizontal="center" vertical="center"/>
    </xf>
    <xf numFmtId="9" fontId="13" fillId="0" borderId="30" xfId="0" applyNumberFormat="1" applyFont="1" applyFill="1" applyBorder="1" applyAlignment="1" applyProtection="1">
      <alignment horizontal="center" vertical="center"/>
    </xf>
    <xf numFmtId="9" fontId="13" fillId="0" borderId="27" xfId="0" applyNumberFormat="1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23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24" xfId="0" applyFont="1" applyFill="1" applyBorder="1" applyAlignment="1" applyProtection="1">
      <alignment horizontal="left" vertical="center"/>
      <protection locked="0"/>
    </xf>
    <xf numFmtId="0" fontId="4" fillId="0" borderId="14" xfId="3" applyFont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_ReStocking v2" xfId="3" xr:uid="{92EC6D06-04A0-4037-B432-57468D2C5AEB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47625</xdr:colOff>
      <xdr:row>1</xdr:row>
      <xdr:rowOff>0</xdr:rowOff>
    </xdr:to>
    <xdr:pic>
      <xdr:nvPicPr>
        <xdr:cNvPr id="7172" name="Picture 1">
          <a:extLst>
            <a:ext uri="{FF2B5EF4-FFF2-40B4-BE49-F238E27FC236}">
              <a16:creationId xmlns:a16="http://schemas.microsoft.com/office/drawing/2014/main" id="{5F3B3BB6-7C67-729D-C9A4-7E15C480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61817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B01E-5A02-4245-8918-338663636FC4}">
  <dimension ref="B1:Q71"/>
  <sheetViews>
    <sheetView showGridLines="0" showRowColHeaders="0" tabSelected="1" zoomScale="130" zoomScaleNormal="130" workbookViewId="0">
      <selection activeCell="D23" sqref="D23"/>
    </sheetView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3" width="12.7109375" style="1" customWidth="1"/>
    <col min="4" max="5" width="10.7109375" style="1" customWidth="1"/>
    <col min="6" max="6" width="1.7109375" style="1" customWidth="1"/>
    <col min="7" max="7" width="11.7109375" style="1" customWidth="1"/>
    <col min="8" max="8" width="0.85546875" style="1" customWidth="1"/>
    <col min="9" max="9" width="2.7109375" style="1" customWidth="1"/>
    <col min="10" max="10" width="0.85546875" style="1" customWidth="1"/>
    <col min="11" max="11" width="15.7109375" style="1" customWidth="1"/>
    <col min="12" max="13" width="11.7109375" style="1" customWidth="1"/>
    <col min="14" max="14" width="0.85546875" style="1" customWidth="1"/>
    <col min="15" max="15" width="8.85546875" style="1"/>
    <col min="16" max="16" width="1.7109375" style="1" customWidth="1"/>
    <col min="17" max="16384" width="8.85546875" style="1"/>
  </cols>
  <sheetData>
    <row r="1" spans="2:15" ht="68.45" customHeight="1" x14ac:dyDescent="0.2"/>
    <row r="2" spans="2:15" ht="19.899999999999999" customHeight="1" x14ac:dyDescent="0.2">
      <c r="C2" s="132" t="s">
        <v>129</v>
      </c>
      <c r="M2" s="128">
        <v>2023</v>
      </c>
    </row>
    <row r="3" spans="2:15" ht="19.899999999999999" customHeight="1" x14ac:dyDescent="0.2">
      <c r="C3" s="129" t="s">
        <v>130</v>
      </c>
    </row>
    <row r="4" spans="2:15" ht="4.9000000000000004" customHeight="1" thickBot="1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5" ht="13.9" customHeight="1" x14ac:dyDescent="0.2"/>
    <row r="6" spans="2:15" ht="13.9" customHeight="1" thickBot="1" x14ac:dyDescent="0.25">
      <c r="C6" s="263" t="s">
        <v>93</v>
      </c>
      <c r="D6" s="263"/>
      <c r="E6" s="263"/>
      <c r="F6" s="263"/>
      <c r="G6" s="263"/>
      <c r="H6" s="202"/>
      <c r="I6" s="2"/>
      <c r="J6" s="2"/>
      <c r="K6" s="264" t="s">
        <v>109</v>
      </c>
      <c r="L6" s="264"/>
      <c r="M6" s="264"/>
      <c r="N6" s="2"/>
    </row>
    <row r="7" spans="2:15" ht="4.9000000000000004" customHeight="1" x14ac:dyDescent="0.2">
      <c r="B7" s="4"/>
      <c r="C7" s="5"/>
      <c r="D7" s="5"/>
      <c r="E7" s="5"/>
      <c r="F7" s="5"/>
      <c r="G7" s="5"/>
      <c r="H7" s="6"/>
      <c r="I7" s="2"/>
      <c r="J7" s="50"/>
      <c r="K7" s="51"/>
      <c r="L7" s="51"/>
      <c r="M7" s="51"/>
      <c r="N7" s="34"/>
    </row>
    <row r="8" spans="2:15" ht="13.9" customHeight="1" x14ac:dyDescent="0.2">
      <c r="B8" s="7"/>
      <c r="C8" s="8" t="s">
        <v>97</v>
      </c>
      <c r="D8" s="9"/>
      <c r="E8" s="10"/>
      <c r="F8" s="9"/>
      <c r="G8" s="204">
        <f>'Assumptions + Income'!G7</f>
        <v>200</v>
      </c>
      <c r="H8" s="12"/>
      <c r="I8" s="13"/>
      <c r="J8" s="52"/>
      <c r="K8" s="21" t="s">
        <v>95</v>
      </c>
      <c r="M8" s="205">
        <f>'Assumptions + Income'!G12</f>
        <v>0.9</v>
      </c>
      <c r="N8" s="53"/>
      <c r="O8" s="14"/>
    </row>
    <row r="9" spans="2:15" ht="13.9" customHeight="1" x14ac:dyDescent="0.2">
      <c r="B9" s="7"/>
      <c r="C9" s="10" t="s">
        <v>94</v>
      </c>
      <c r="D9" s="10"/>
      <c r="E9" s="10"/>
      <c r="F9" s="10"/>
      <c r="G9" s="205">
        <f>'Assumptions + Income'!G9</f>
        <v>0.01</v>
      </c>
      <c r="H9" s="12"/>
      <c r="I9" s="13"/>
      <c r="J9" s="52"/>
      <c r="K9" s="23" t="s">
        <v>98</v>
      </c>
      <c r="M9" s="205">
        <f>'Assumptions + Income'!E13</f>
        <v>0.5</v>
      </c>
      <c r="N9" s="53"/>
      <c r="O9" s="14"/>
    </row>
    <row r="10" spans="2:15" ht="13.9" customHeight="1" x14ac:dyDescent="0.2">
      <c r="B10" s="15"/>
      <c r="C10" s="19" t="s">
        <v>107</v>
      </c>
      <c r="D10" s="19"/>
      <c r="E10" s="10"/>
      <c r="F10" s="19"/>
      <c r="G10" s="205">
        <f>'Assumptions + Income'!G10</f>
        <v>0.14000000000000001</v>
      </c>
      <c r="H10" s="17"/>
      <c r="I10" s="18"/>
      <c r="J10" s="54"/>
      <c r="K10" s="10" t="s">
        <v>151</v>
      </c>
      <c r="L10" s="10"/>
      <c r="M10" s="207">
        <f>'Assumptions + Income'!M7</f>
        <v>180</v>
      </c>
      <c r="N10" s="55"/>
      <c r="O10" s="10"/>
    </row>
    <row r="11" spans="2:15" ht="13.9" customHeight="1" x14ac:dyDescent="0.2">
      <c r="B11" s="15"/>
      <c r="C11" s="8" t="s">
        <v>106</v>
      </c>
      <c r="D11" s="9"/>
      <c r="E11" s="10"/>
      <c r="F11" s="9"/>
      <c r="G11" s="204">
        <f>'Assumptions + Income'!G8</f>
        <v>22</v>
      </c>
      <c r="H11" s="17"/>
      <c r="I11" s="18"/>
      <c r="J11" s="54"/>
      <c r="K11" s="193" t="s">
        <v>150</v>
      </c>
      <c r="L11" s="10"/>
      <c r="M11" s="207">
        <f>'Assumptions + Income'!M8</f>
        <v>90</v>
      </c>
      <c r="N11" s="55"/>
      <c r="O11" s="10"/>
    </row>
    <row r="12" spans="2:15" ht="13.9" customHeight="1" x14ac:dyDescent="0.2">
      <c r="B12" s="15"/>
      <c r="C12" s="19" t="s">
        <v>169</v>
      </c>
      <c r="D12" s="19"/>
      <c r="E12" s="10"/>
      <c r="F12" s="19"/>
      <c r="G12" s="250">
        <f>'Assumptions + Income'!M14</f>
        <v>9</v>
      </c>
      <c r="H12" s="17"/>
      <c r="I12" s="18"/>
      <c r="J12" s="54"/>
      <c r="K12" s="194" t="s">
        <v>149</v>
      </c>
      <c r="L12" s="10"/>
      <c r="M12" s="207">
        <f>'Assumptions + Income'!M9</f>
        <v>90</v>
      </c>
      <c r="N12" s="55"/>
      <c r="O12" s="10"/>
    </row>
    <row r="13" spans="2:15" ht="13.9" customHeight="1" x14ac:dyDescent="0.2">
      <c r="B13" s="15"/>
      <c r="C13" s="19" t="s">
        <v>108</v>
      </c>
      <c r="D13" s="19"/>
      <c r="E13" s="10"/>
      <c r="F13" s="19"/>
      <c r="G13" s="205">
        <f>'Assumptions + Income'!G11</f>
        <v>0.3</v>
      </c>
      <c r="H13" s="17"/>
      <c r="I13" s="18"/>
      <c r="J13" s="54"/>
      <c r="N13" s="55"/>
      <c r="O13" s="10"/>
    </row>
    <row r="14" spans="2:15" ht="13.9" customHeight="1" x14ac:dyDescent="0.2">
      <c r="B14" s="15"/>
      <c r="G14" s="206"/>
      <c r="H14" s="17"/>
      <c r="I14" s="18"/>
      <c r="J14" s="54"/>
      <c r="K14" s="21" t="s">
        <v>148</v>
      </c>
      <c r="L14" s="10"/>
      <c r="M14" s="207">
        <f>'Assumptions + Income'!M11</f>
        <v>40</v>
      </c>
      <c r="N14" s="55"/>
      <c r="O14" s="10"/>
    </row>
    <row r="15" spans="2:15" ht="13.9" customHeight="1" x14ac:dyDescent="0.2">
      <c r="B15" s="15"/>
      <c r="C15" s="21" t="s">
        <v>105</v>
      </c>
      <c r="D15" s="22"/>
      <c r="E15" s="10"/>
      <c r="F15" s="22"/>
      <c r="G15" s="205">
        <f>'Assumptions + Income'!G14</f>
        <v>0.2</v>
      </c>
      <c r="H15" s="17"/>
      <c r="I15" s="18"/>
      <c r="J15" s="54"/>
      <c r="K15" s="21" t="s">
        <v>147</v>
      </c>
      <c r="L15" s="10"/>
      <c r="M15" s="207">
        <f>'Assumptions + Income'!M12</f>
        <v>50</v>
      </c>
      <c r="N15" s="55"/>
      <c r="O15" s="10"/>
    </row>
    <row r="16" spans="2:15" ht="4.9000000000000004" customHeight="1" thickBot="1" x14ac:dyDescent="0.25">
      <c r="B16" s="26"/>
      <c r="C16" s="27"/>
      <c r="D16" s="27"/>
      <c r="E16" s="27"/>
      <c r="F16" s="27"/>
      <c r="G16" s="27"/>
      <c r="H16" s="28"/>
      <c r="I16" s="13"/>
      <c r="J16" s="57"/>
      <c r="K16" s="58"/>
      <c r="L16" s="27"/>
      <c r="M16" s="27"/>
      <c r="N16" s="28"/>
      <c r="O16" s="10"/>
    </row>
    <row r="17" spans="2:15" ht="13.9" customHeight="1" x14ac:dyDescent="0.2">
      <c r="B17" s="10"/>
      <c r="C17" s="10"/>
      <c r="D17" s="10"/>
      <c r="E17" s="10"/>
      <c r="F17" s="10"/>
      <c r="G17" s="10"/>
      <c r="H17" s="10"/>
      <c r="I17" s="13"/>
      <c r="J17" s="59"/>
      <c r="K17" s="22"/>
      <c r="L17" s="10"/>
      <c r="M17" s="10"/>
      <c r="N17" s="10"/>
      <c r="O17" s="10"/>
    </row>
    <row r="18" spans="2:15" ht="13.9" customHeight="1" thickBot="1" x14ac:dyDescent="0.25">
      <c r="B18" s="31"/>
      <c r="C18" s="261" t="s">
        <v>75</v>
      </c>
      <c r="D18" s="261"/>
      <c r="E18" s="261"/>
      <c r="F18" s="261"/>
      <c r="G18" s="261"/>
      <c r="H18" s="261"/>
      <c r="I18" s="261"/>
      <c r="J18" s="261"/>
      <c r="K18" s="261"/>
      <c r="L18" s="261"/>
      <c r="M18" s="261"/>
    </row>
    <row r="19" spans="2:15" ht="13.9" customHeight="1" x14ac:dyDescent="0.2">
      <c r="B19" s="4"/>
      <c r="C19" s="32"/>
      <c r="D19" s="32"/>
      <c r="E19" s="33" t="s">
        <v>78</v>
      </c>
      <c r="F19" s="33"/>
      <c r="G19" s="33" t="s">
        <v>81</v>
      </c>
      <c r="H19" s="33"/>
      <c r="I19" s="33"/>
      <c r="J19" s="33"/>
      <c r="K19" s="262" t="s">
        <v>82</v>
      </c>
      <c r="L19" s="262"/>
      <c r="M19" s="262"/>
      <c r="N19" s="34"/>
    </row>
    <row r="20" spans="2:15" ht="13.9" customHeight="1" x14ac:dyDescent="0.2">
      <c r="B20" s="15"/>
      <c r="C20" s="10" t="s">
        <v>76</v>
      </c>
      <c r="D20" s="9"/>
      <c r="E20" s="35" t="s">
        <v>79</v>
      </c>
      <c r="F20" s="35"/>
      <c r="G20" s="35" t="s">
        <v>3</v>
      </c>
      <c r="H20" s="35"/>
      <c r="I20" s="35"/>
      <c r="J20" s="35"/>
      <c r="K20" s="35" t="s">
        <v>83</v>
      </c>
      <c r="L20" s="35" t="s">
        <v>85</v>
      </c>
      <c r="M20" s="35" t="s">
        <v>9</v>
      </c>
      <c r="N20" s="36"/>
    </row>
    <row r="21" spans="2:15" ht="13.9" customHeight="1" thickBot="1" x14ac:dyDescent="0.25">
      <c r="B21" s="15"/>
      <c r="C21" s="27" t="s">
        <v>77</v>
      </c>
      <c r="D21" s="37" t="s">
        <v>61</v>
      </c>
      <c r="E21" s="38" t="s">
        <v>80</v>
      </c>
      <c r="F21" s="38"/>
      <c r="G21" s="38" t="s">
        <v>87</v>
      </c>
      <c r="H21" s="38"/>
      <c r="I21" s="38"/>
      <c r="J21" s="38"/>
      <c r="K21" s="38" t="s">
        <v>84</v>
      </c>
      <c r="L21" s="38" t="s">
        <v>86</v>
      </c>
      <c r="M21" s="38" t="s">
        <v>86</v>
      </c>
      <c r="N21" s="36"/>
    </row>
    <row r="22" spans="2:15" ht="4.9000000000000004" customHeight="1" x14ac:dyDescent="0.2">
      <c r="B22" s="15"/>
      <c r="C22" s="10"/>
      <c r="D22" s="9"/>
      <c r="E22" s="35"/>
      <c r="F22" s="35"/>
      <c r="G22" s="35"/>
      <c r="H22" s="35"/>
      <c r="I22" s="35"/>
      <c r="J22" s="35"/>
      <c r="K22" s="35"/>
      <c r="L22" s="35"/>
      <c r="M22" s="35"/>
      <c r="N22" s="36"/>
    </row>
    <row r="23" spans="2:15" ht="13.9" customHeight="1" x14ac:dyDescent="0.2">
      <c r="B23" s="15"/>
      <c r="C23" s="10" t="s">
        <v>170</v>
      </c>
      <c r="D23" s="203">
        <f>'Assumptions + Income'!D29</f>
        <v>90</v>
      </c>
      <c r="E23" s="106">
        <f>'Assumptions + Income'!E29</f>
        <v>550</v>
      </c>
      <c r="F23" s="208"/>
      <c r="G23" s="209">
        <f>'Assumptions + Income'!G29</f>
        <v>260</v>
      </c>
      <c r="H23" s="210"/>
      <c r="I23" s="210"/>
      <c r="J23" s="210"/>
      <c r="K23" s="211">
        <f>E23*(G23/100)</f>
        <v>1430</v>
      </c>
      <c r="L23" s="212">
        <f>K23*D23</f>
        <v>128700</v>
      </c>
      <c r="M23" s="211">
        <f t="shared" ref="M23:M28" si="0">L23/$G$8</f>
        <v>643.5</v>
      </c>
      <c r="N23" s="43"/>
    </row>
    <row r="24" spans="2:15" ht="13.9" customHeight="1" x14ac:dyDescent="0.2">
      <c r="B24" s="15"/>
      <c r="C24" s="10" t="s">
        <v>171</v>
      </c>
      <c r="D24" s="203">
        <f>'Assumptions + Income'!D30</f>
        <v>50</v>
      </c>
      <c r="E24" s="106">
        <f>'Assumptions + Income'!E30</f>
        <v>515</v>
      </c>
      <c r="F24" s="208"/>
      <c r="G24" s="209">
        <f>'Assumptions + Income'!G30</f>
        <v>245</v>
      </c>
      <c r="H24" s="210"/>
      <c r="I24" s="210"/>
      <c r="J24" s="210"/>
      <c r="K24" s="211">
        <f>E24*(G24/100)</f>
        <v>1261.75</v>
      </c>
      <c r="L24" s="212">
        <f>K24*D24</f>
        <v>63087.5</v>
      </c>
      <c r="M24" s="211">
        <f t="shared" si="0"/>
        <v>315.4375</v>
      </c>
      <c r="N24" s="43"/>
    </row>
    <row r="25" spans="2:15" ht="13.9" customHeight="1" x14ac:dyDescent="0.2">
      <c r="B25" s="15"/>
      <c r="C25" s="10" t="s">
        <v>96</v>
      </c>
      <c r="D25" s="203">
        <f>'Assumptions + Income'!D31</f>
        <v>10</v>
      </c>
      <c r="E25" s="106">
        <f>'Assumptions + Income'!E31</f>
        <v>950</v>
      </c>
      <c r="F25" s="208"/>
      <c r="G25" s="209">
        <f>'Assumptions + Income'!G31</f>
        <v>160</v>
      </c>
      <c r="H25" s="210"/>
      <c r="I25" s="210"/>
      <c r="J25" s="210"/>
      <c r="K25" s="211">
        <f>E25*(G25/100)</f>
        <v>1520</v>
      </c>
      <c r="L25" s="212">
        <f>K25*D25</f>
        <v>15200</v>
      </c>
      <c r="M25" s="211">
        <f t="shared" si="0"/>
        <v>76</v>
      </c>
      <c r="N25" s="43"/>
    </row>
    <row r="26" spans="2:15" ht="13.9" customHeight="1" x14ac:dyDescent="0.2">
      <c r="B26" s="15"/>
      <c r="C26" s="10" t="s">
        <v>73</v>
      </c>
      <c r="D26" s="203">
        <f>'Assumptions + Income'!D32</f>
        <v>28.000000000000004</v>
      </c>
      <c r="E26" s="106">
        <f>'Assumptions + Income'!E32</f>
        <v>1250</v>
      </c>
      <c r="F26" s="208"/>
      <c r="G26" s="209">
        <f>'Assumptions + Income'!G32</f>
        <v>95</v>
      </c>
      <c r="H26" s="210"/>
      <c r="I26" s="210"/>
      <c r="J26" s="210"/>
      <c r="K26" s="211">
        <f>E26*(G26/100)</f>
        <v>1187.5</v>
      </c>
      <c r="L26" s="212">
        <f>K26*D26</f>
        <v>33250.000000000007</v>
      </c>
      <c r="M26" s="211">
        <f t="shared" si="0"/>
        <v>166.25000000000003</v>
      </c>
      <c r="N26" s="43"/>
    </row>
    <row r="27" spans="2:15" ht="13.9" customHeight="1" x14ac:dyDescent="0.2">
      <c r="B27" s="15"/>
      <c r="C27" s="10" t="s">
        <v>74</v>
      </c>
      <c r="D27" s="203">
        <f>'Assumptions + Income'!D33</f>
        <v>2</v>
      </c>
      <c r="E27" s="106">
        <f>'Assumptions + Income'!E33</f>
        <v>1750</v>
      </c>
      <c r="F27" s="208"/>
      <c r="G27" s="209">
        <f>'Assumptions + Income'!G33</f>
        <v>120</v>
      </c>
      <c r="H27" s="210"/>
      <c r="I27" s="210"/>
      <c r="J27" s="210"/>
      <c r="K27" s="211">
        <f>E27*(G27/100)</f>
        <v>2100</v>
      </c>
      <c r="L27" s="212">
        <f>K27*D27</f>
        <v>4200</v>
      </c>
      <c r="M27" s="211">
        <f t="shared" si="0"/>
        <v>21</v>
      </c>
      <c r="N27" s="43"/>
    </row>
    <row r="28" spans="2:15" ht="13.9" customHeight="1" x14ac:dyDescent="0.2">
      <c r="B28" s="15"/>
      <c r="C28" s="10" t="s">
        <v>63</v>
      </c>
      <c r="D28" s="203"/>
      <c r="E28" s="203"/>
      <c r="F28" s="203"/>
      <c r="G28" s="203"/>
      <c r="H28" s="210"/>
      <c r="I28" s="210"/>
      <c r="J28" s="210"/>
      <c r="K28" s="211"/>
      <c r="L28" s="106">
        <v>0</v>
      </c>
      <c r="M28" s="211">
        <f t="shared" si="0"/>
        <v>0</v>
      </c>
      <c r="N28" s="43"/>
    </row>
    <row r="29" spans="2:15" ht="4.9000000000000004" customHeight="1" thickBot="1" x14ac:dyDescent="0.25">
      <c r="B29" s="15"/>
      <c r="C29" s="67"/>
      <c r="D29" s="213"/>
      <c r="E29" s="214"/>
      <c r="F29" s="215"/>
      <c r="G29" s="216"/>
      <c r="H29" s="217"/>
      <c r="I29" s="217"/>
      <c r="J29" s="217"/>
      <c r="K29" s="218"/>
      <c r="L29" s="219"/>
      <c r="M29" s="218"/>
      <c r="N29" s="43"/>
    </row>
    <row r="30" spans="2:15" ht="13.9" customHeight="1" thickTop="1" thickBot="1" x14ac:dyDescent="0.25">
      <c r="B30" s="26"/>
      <c r="C30" s="48" t="s">
        <v>72</v>
      </c>
      <c r="D30" s="220"/>
      <c r="E30" s="191"/>
      <c r="F30" s="191"/>
      <c r="G30" s="191"/>
      <c r="H30" s="191"/>
      <c r="I30" s="191"/>
      <c r="J30" s="191"/>
      <c r="K30" s="191"/>
      <c r="L30" s="221">
        <f>SUM(L23:L29)</f>
        <v>244437.5</v>
      </c>
      <c r="M30" s="222">
        <f>SUM(M23:M29)</f>
        <v>1222.1875</v>
      </c>
      <c r="N30" s="49"/>
    </row>
    <row r="31" spans="2:15" ht="13.9" customHeight="1" x14ac:dyDescent="0.2"/>
    <row r="32" spans="2:15" ht="13.9" customHeight="1" thickBot="1" x14ac:dyDescent="0.25">
      <c r="C32" s="31" t="s">
        <v>133</v>
      </c>
    </row>
    <row r="33" spans="2:14" ht="13.9" customHeight="1" x14ac:dyDescent="0.2">
      <c r="B33" s="4"/>
      <c r="C33" s="133"/>
      <c r="D33" s="133"/>
      <c r="E33" s="133"/>
      <c r="F33" s="133"/>
      <c r="G33" s="133"/>
      <c r="H33" s="133"/>
      <c r="I33" s="133"/>
      <c r="J33" s="133"/>
      <c r="K33" s="133"/>
      <c r="L33" s="134" t="s">
        <v>132</v>
      </c>
      <c r="M33" s="134" t="s">
        <v>131</v>
      </c>
      <c r="N33" s="61"/>
    </row>
    <row r="34" spans="2:14" ht="13.9" customHeight="1" x14ac:dyDescent="0.2">
      <c r="B34" s="15"/>
      <c r="C34" s="10" t="s">
        <v>144</v>
      </c>
      <c r="D34" s="10"/>
      <c r="E34" s="10"/>
      <c r="F34" s="10"/>
      <c r="G34" s="10"/>
      <c r="H34" s="10"/>
      <c r="I34" s="10"/>
      <c r="J34" s="10"/>
      <c r="K34" s="10"/>
      <c r="L34" s="130">
        <f>'Cow Carrying Costs'!I13+'Cow Carrying Costs'!I24</f>
        <v>122500</v>
      </c>
      <c r="M34" s="131">
        <f>L34/$G$8</f>
        <v>612.5</v>
      </c>
      <c r="N34" s="55"/>
    </row>
    <row r="35" spans="2:14" ht="13.9" customHeight="1" x14ac:dyDescent="0.2">
      <c r="B35" s="15"/>
      <c r="C35" s="10" t="s">
        <v>102</v>
      </c>
      <c r="D35" s="10"/>
      <c r="E35" s="10"/>
      <c r="F35" s="10"/>
      <c r="G35" s="10"/>
      <c r="H35" s="10"/>
      <c r="I35" s="10"/>
      <c r="J35" s="10"/>
      <c r="K35" s="10"/>
      <c r="L35" s="130">
        <f>'Cow Carrying Costs'!I36</f>
        <v>0</v>
      </c>
      <c r="M35" s="131">
        <f t="shared" ref="M35:M41" si="1">L35/$G$8</f>
        <v>0</v>
      </c>
      <c r="N35" s="55"/>
    </row>
    <row r="36" spans="2:14" ht="13.9" customHeight="1" x14ac:dyDescent="0.2">
      <c r="B36" s="15"/>
      <c r="C36" s="10" t="s">
        <v>134</v>
      </c>
      <c r="D36" s="10"/>
      <c r="E36" s="10"/>
      <c r="F36" s="10"/>
      <c r="G36" s="10"/>
      <c r="H36" s="10"/>
      <c r="I36" s="10"/>
      <c r="J36" s="10"/>
      <c r="K36" s="10"/>
      <c r="L36" s="130">
        <f>'Cow Carrying Costs'!I50</f>
        <v>7083.4</v>
      </c>
      <c r="M36" s="131">
        <f t="shared" si="1"/>
        <v>35.417000000000002</v>
      </c>
      <c r="N36" s="55"/>
    </row>
    <row r="37" spans="2:14" ht="13.9" customHeight="1" x14ac:dyDescent="0.2">
      <c r="B37" s="15"/>
      <c r="C37" s="10" t="s">
        <v>35</v>
      </c>
      <c r="D37" s="10"/>
      <c r="E37" s="10"/>
      <c r="F37" s="10"/>
      <c r="G37" s="10"/>
      <c r="H37" s="10"/>
      <c r="I37" s="10"/>
      <c r="J37" s="10"/>
      <c r="K37" s="10"/>
      <c r="L37" s="130">
        <f>'Cow Carrying Costs'!I61</f>
        <v>1830</v>
      </c>
      <c r="M37" s="131">
        <f t="shared" si="1"/>
        <v>9.15</v>
      </c>
      <c r="N37" s="55"/>
    </row>
    <row r="38" spans="2:14" ht="13.9" customHeight="1" x14ac:dyDescent="0.2">
      <c r="B38" s="15"/>
      <c r="C38" s="10" t="s">
        <v>40</v>
      </c>
      <c r="D38" s="10"/>
      <c r="E38" s="10"/>
      <c r="F38" s="10"/>
      <c r="G38" s="10"/>
      <c r="H38" s="10"/>
      <c r="I38" s="10"/>
      <c r="J38" s="10"/>
      <c r="K38" s="10"/>
      <c r="L38" s="130">
        <f>'Cow Carrying Costs'!I75</f>
        <v>5980.75</v>
      </c>
      <c r="M38" s="131">
        <f t="shared" si="1"/>
        <v>29.903749999999999</v>
      </c>
      <c r="N38" s="55"/>
    </row>
    <row r="39" spans="2:14" ht="13.9" customHeight="1" x14ac:dyDescent="0.2">
      <c r="B39" s="15"/>
      <c r="C39" s="10" t="s">
        <v>101</v>
      </c>
      <c r="D39" s="10"/>
      <c r="E39" s="10"/>
      <c r="F39" s="10"/>
      <c r="G39" s="10"/>
      <c r="H39" s="10"/>
      <c r="I39" s="10"/>
      <c r="J39" s="10"/>
      <c r="K39" s="10"/>
      <c r="L39" s="130">
        <f>'Cow Carrying Costs'!I87</f>
        <v>10000</v>
      </c>
      <c r="M39" s="131">
        <f t="shared" si="1"/>
        <v>50</v>
      </c>
      <c r="N39" s="55"/>
    </row>
    <row r="40" spans="2:14" ht="13.9" customHeight="1" x14ac:dyDescent="0.2">
      <c r="B40" s="15"/>
      <c r="C40" s="10" t="s">
        <v>53</v>
      </c>
      <c r="D40" s="10"/>
      <c r="E40" s="10"/>
      <c r="F40" s="10"/>
      <c r="G40" s="10"/>
      <c r="H40" s="10"/>
      <c r="I40" s="10"/>
      <c r="J40" s="10"/>
      <c r="K40" s="10"/>
      <c r="L40" s="130">
        <f>'Cow Carrying Costs'!I101</f>
        <v>0</v>
      </c>
      <c r="M40" s="131">
        <f t="shared" si="1"/>
        <v>0</v>
      </c>
      <c r="N40" s="55"/>
    </row>
    <row r="41" spans="2:14" ht="13.9" customHeight="1" x14ac:dyDescent="0.2">
      <c r="B41" s="15"/>
      <c r="C41" s="10" t="s">
        <v>65</v>
      </c>
      <c r="D41" s="10"/>
      <c r="E41" s="10"/>
      <c r="F41" s="10"/>
      <c r="G41" s="10"/>
      <c r="H41" s="10"/>
      <c r="I41" s="10"/>
      <c r="J41" s="10"/>
      <c r="K41" s="10"/>
      <c r="L41" s="130">
        <f>'Cow Carrying Costs'!I112</f>
        <v>6632.7367499999991</v>
      </c>
      <c r="M41" s="131">
        <f t="shared" si="1"/>
        <v>33.163683749999997</v>
      </c>
      <c r="N41" s="55"/>
    </row>
    <row r="42" spans="2:14" ht="4.9000000000000004" customHeight="1" thickBot="1" x14ac:dyDescent="0.25">
      <c r="B42" s="15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55"/>
    </row>
    <row r="43" spans="2:14" ht="13.9" customHeight="1" thickTop="1" thickBot="1" x14ac:dyDescent="0.25">
      <c r="B43" s="26"/>
      <c r="C43" s="135" t="s">
        <v>135</v>
      </c>
      <c r="D43" s="135"/>
      <c r="E43" s="135"/>
      <c r="F43" s="135"/>
      <c r="G43" s="135"/>
      <c r="H43" s="135"/>
      <c r="I43" s="135"/>
      <c r="J43" s="135"/>
      <c r="K43" s="135"/>
      <c r="L43" s="136">
        <f>SUM(L34:L42)</f>
        <v>154026.88675000001</v>
      </c>
      <c r="M43" s="137">
        <f>SUM(M34:M42)</f>
        <v>770.13443374999997</v>
      </c>
      <c r="N43" s="28"/>
    </row>
    <row r="44" spans="2:14" ht="13.9" customHeight="1" x14ac:dyDescent="0.2"/>
    <row r="45" spans="2:14" ht="13.9" customHeight="1" thickBot="1" x14ac:dyDescent="0.25">
      <c r="C45" s="31" t="s">
        <v>136</v>
      </c>
    </row>
    <row r="46" spans="2:14" ht="13.9" customHeight="1" x14ac:dyDescent="0.2">
      <c r="B46" s="4"/>
      <c r="C46" s="133"/>
      <c r="D46" s="133"/>
      <c r="E46" s="133"/>
      <c r="F46" s="133"/>
      <c r="G46" s="133"/>
      <c r="H46" s="133"/>
      <c r="I46" s="133"/>
      <c r="J46" s="133"/>
      <c r="K46" s="133"/>
      <c r="L46" s="134" t="s">
        <v>132</v>
      </c>
      <c r="M46" s="134" t="s">
        <v>131</v>
      </c>
      <c r="N46" s="61"/>
    </row>
    <row r="47" spans="2:14" ht="13.9" customHeight="1" x14ac:dyDescent="0.2">
      <c r="B47" s="15"/>
      <c r="C47" s="10" t="s">
        <v>103</v>
      </c>
      <c r="D47" s="10"/>
      <c r="E47" s="10"/>
      <c r="F47" s="10"/>
      <c r="G47" s="10"/>
      <c r="H47" s="10"/>
      <c r="I47" s="10"/>
      <c r="J47" s="10"/>
      <c r="K47" s="10"/>
      <c r="L47" s="130">
        <f>L30</f>
        <v>244437.5</v>
      </c>
      <c r="M47" s="131">
        <f>M30</f>
        <v>1222.1875</v>
      </c>
      <c r="N47" s="55"/>
    </row>
    <row r="48" spans="2:14" ht="13.9" customHeight="1" x14ac:dyDescent="0.2">
      <c r="B48" s="15"/>
      <c r="C48" s="10" t="s">
        <v>135</v>
      </c>
      <c r="D48" s="10"/>
      <c r="E48" s="10"/>
      <c r="F48" s="10"/>
      <c r="G48" s="10"/>
      <c r="H48" s="10"/>
      <c r="I48" s="10"/>
      <c r="J48" s="10"/>
      <c r="K48" s="10"/>
      <c r="L48" s="130">
        <f>L43</f>
        <v>154026.88675000001</v>
      </c>
      <c r="M48" s="131">
        <f>M43</f>
        <v>770.13443374999997</v>
      </c>
      <c r="N48" s="55"/>
    </row>
    <row r="49" spans="2:17" ht="13.9" customHeight="1" x14ac:dyDescent="0.2">
      <c r="B49" s="15"/>
      <c r="C49" s="10" t="s">
        <v>159</v>
      </c>
      <c r="D49" s="10"/>
      <c r="E49" s="10"/>
      <c r="F49" s="10"/>
      <c r="G49" s="10"/>
      <c r="H49" s="10"/>
      <c r="I49" s="10"/>
      <c r="J49" s="10"/>
      <c r="K49" s="10"/>
      <c r="L49" s="130">
        <f>'Cow Carrying Costs'!I129</f>
        <v>60000</v>
      </c>
      <c r="M49" s="131">
        <f>'Cow Carrying Costs'!H129</f>
        <v>300</v>
      </c>
      <c r="N49" s="55"/>
    </row>
    <row r="50" spans="2:17" ht="13.9" customHeight="1" x14ac:dyDescent="0.2">
      <c r="B50" s="15"/>
      <c r="C50" s="10" t="s">
        <v>158</v>
      </c>
      <c r="D50" s="10"/>
      <c r="E50" s="10"/>
      <c r="F50" s="10"/>
      <c r="G50" s="10"/>
      <c r="H50" s="10"/>
      <c r="I50" s="10"/>
      <c r="J50" s="10"/>
      <c r="K50" s="10"/>
      <c r="L50" s="130">
        <f>'Cow Carrying Costs'!I122</f>
        <v>17000</v>
      </c>
      <c r="M50" s="131">
        <f>L50/G8</f>
        <v>85</v>
      </c>
      <c r="N50" s="55"/>
    </row>
    <row r="51" spans="2:17" ht="4.9000000000000004" customHeight="1" thickBot="1" x14ac:dyDescent="0.25">
      <c r="B51" s="15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55"/>
    </row>
    <row r="52" spans="2:17" ht="13.9" customHeight="1" thickTop="1" thickBot="1" x14ac:dyDescent="0.25">
      <c r="B52" s="26"/>
      <c r="C52" s="135" t="s">
        <v>137</v>
      </c>
      <c r="D52" s="135"/>
      <c r="E52" s="135"/>
      <c r="F52" s="135"/>
      <c r="G52" s="135"/>
      <c r="H52" s="135"/>
      <c r="I52" s="135"/>
      <c r="J52" s="135"/>
      <c r="K52" s="135"/>
      <c r="L52" s="136">
        <f>L47-L48-L49-L50</f>
        <v>13410.613249999995</v>
      </c>
      <c r="M52" s="137">
        <f>M47-M48-M49-M50</f>
        <v>67.053066250000029</v>
      </c>
      <c r="N52" s="28"/>
    </row>
    <row r="53" spans="2:17" ht="15" customHeight="1" thickBot="1" x14ac:dyDescent="0.25"/>
    <row r="54" spans="2:17" ht="15" customHeight="1" thickBot="1" x14ac:dyDescent="0.25">
      <c r="B54" s="195"/>
      <c r="C54" s="196" t="s">
        <v>153</v>
      </c>
      <c r="D54" s="197"/>
      <c r="E54" s="197"/>
      <c r="F54" s="197"/>
      <c r="G54" s="197"/>
      <c r="H54" s="197"/>
      <c r="I54" s="197"/>
      <c r="J54" s="197"/>
      <c r="K54" s="197"/>
      <c r="L54" s="197"/>
      <c r="M54" s="198">
        <f>M48+M49+M51</f>
        <v>1070.13443375</v>
      </c>
      <c r="N54" s="199"/>
      <c r="Q54" s="201"/>
    </row>
    <row r="56" spans="2:17" ht="15" customHeight="1" thickBot="1" x14ac:dyDescent="0.25">
      <c r="C56" s="189" t="s">
        <v>172</v>
      </c>
      <c r="D56" s="10"/>
      <c r="E56" s="10"/>
      <c r="F56" s="10"/>
      <c r="G56" s="10"/>
      <c r="H56" s="10"/>
      <c r="I56" s="10"/>
      <c r="J56" s="10"/>
      <c r="K56" s="190"/>
    </row>
    <row r="57" spans="2:17" ht="12" customHeight="1" x14ac:dyDescent="0.2">
      <c r="B57" s="223"/>
      <c r="C57" s="224" t="s">
        <v>91</v>
      </c>
      <c r="D57" s="224" t="s">
        <v>173</v>
      </c>
      <c r="E57" s="260" t="s">
        <v>104</v>
      </c>
      <c r="F57" s="260"/>
      <c r="G57" s="260"/>
      <c r="H57" s="260"/>
      <c r="I57" s="260"/>
      <c r="J57" s="260"/>
      <c r="K57" s="260"/>
      <c r="L57" s="260"/>
      <c r="M57" s="260"/>
      <c r="N57" s="225"/>
    </row>
    <row r="58" spans="2:17" ht="12" customHeight="1" thickBot="1" x14ac:dyDescent="0.25">
      <c r="B58" s="226"/>
      <c r="C58" s="227" t="s">
        <v>92</v>
      </c>
      <c r="D58" s="227" t="s">
        <v>62</v>
      </c>
      <c r="E58" s="254">
        <f>K58-200</f>
        <v>870.13443374999997</v>
      </c>
      <c r="F58" s="254"/>
      <c r="G58" s="228">
        <f>K58-100</f>
        <v>970.13443374999997</v>
      </c>
      <c r="H58" s="254"/>
      <c r="I58" s="254"/>
      <c r="J58" s="228"/>
      <c r="K58" s="228">
        <f>M54</f>
        <v>1070.13443375</v>
      </c>
      <c r="L58" s="228">
        <f>K58+100</f>
        <v>1170.13443375</v>
      </c>
      <c r="M58" s="228">
        <f>K58+200</f>
        <v>1270.13443375</v>
      </c>
      <c r="N58" s="229"/>
    </row>
    <row r="59" spans="2:17" ht="12" customHeight="1" x14ac:dyDescent="0.2">
      <c r="B59" s="226"/>
      <c r="C59" s="255">
        <v>0.75</v>
      </c>
      <c r="D59" s="230">
        <v>400</v>
      </c>
      <c r="E59" s="251">
        <f>E$58/($C$59*$D59)</f>
        <v>2.9004481124999999</v>
      </c>
      <c r="F59" s="251"/>
      <c r="G59" s="231">
        <f>G$58/($C$59*$D59)</f>
        <v>3.2337814458333334</v>
      </c>
      <c r="H59" s="232"/>
      <c r="I59" s="232"/>
      <c r="J59" s="231"/>
      <c r="K59" s="231">
        <f t="shared" ref="K59:M61" si="2">K$58/($C$59*$D59)</f>
        <v>3.5671147791666664</v>
      </c>
      <c r="L59" s="231">
        <f t="shared" si="2"/>
        <v>3.9004481124999999</v>
      </c>
      <c r="M59" s="231">
        <f t="shared" si="2"/>
        <v>4.2337814458333334</v>
      </c>
      <c r="N59" s="229"/>
    </row>
    <row r="60" spans="2:17" ht="12" customHeight="1" x14ac:dyDescent="0.2">
      <c r="B60" s="226"/>
      <c r="C60" s="255"/>
      <c r="D60" s="230">
        <v>500</v>
      </c>
      <c r="E60" s="251">
        <f>E$58/($C$59*$D60)</f>
        <v>2.3203584899999998</v>
      </c>
      <c r="F60" s="251"/>
      <c r="G60" s="231">
        <f>G$58/($C$59*$D60)</f>
        <v>2.5870251566666664</v>
      </c>
      <c r="H60" s="233"/>
      <c r="I60" s="233"/>
      <c r="J60" s="231"/>
      <c r="K60" s="231">
        <f t="shared" si="2"/>
        <v>2.853691823333333</v>
      </c>
      <c r="L60" s="231">
        <f t="shared" si="2"/>
        <v>3.1203584900000001</v>
      </c>
      <c r="M60" s="231">
        <f t="shared" si="2"/>
        <v>3.3870251566666667</v>
      </c>
      <c r="N60" s="229"/>
    </row>
    <row r="61" spans="2:17" ht="12" customHeight="1" x14ac:dyDescent="0.2">
      <c r="B61" s="226"/>
      <c r="C61" s="256"/>
      <c r="D61" s="234">
        <v>600</v>
      </c>
      <c r="E61" s="251">
        <f>E$58/($C$59*$D61)</f>
        <v>1.933632075</v>
      </c>
      <c r="F61" s="251"/>
      <c r="G61" s="231">
        <f>G$58/($C$59*$D61)</f>
        <v>2.1558542972222221</v>
      </c>
      <c r="H61" s="235"/>
      <c r="I61" s="235"/>
      <c r="J61" s="236"/>
      <c r="K61" s="231">
        <f t="shared" si="2"/>
        <v>2.3780765194444444</v>
      </c>
      <c r="L61" s="231">
        <f t="shared" si="2"/>
        <v>2.6002987416666667</v>
      </c>
      <c r="M61" s="237">
        <f t="shared" si="2"/>
        <v>2.8225209638888886</v>
      </c>
      <c r="N61" s="229"/>
    </row>
    <row r="62" spans="2:17" ht="12" customHeight="1" x14ac:dyDescent="0.2">
      <c r="B62" s="226"/>
      <c r="C62" s="257">
        <v>0.8</v>
      </c>
      <c r="D62" s="230">
        <v>400</v>
      </c>
      <c r="E62" s="252">
        <f>E$58/($C$62*$D62)</f>
        <v>2.7191701054687498</v>
      </c>
      <c r="F62" s="252"/>
      <c r="G62" s="238">
        <f>G$58/($C$62*$D62)</f>
        <v>3.0316701054687498</v>
      </c>
      <c r="H62" s="239"/>
      <c r="I62" s="239"/>
      <c r="J62" s="240"/>
      <c r="K62" s="238">
        <f t="shared" ref="K62:M64" si="3">K$58/($C$62*$D62)</f>
        <v>3.3441701054687498</v>
      </c>
      <c r="L62" s="238">
        <f t="shared" si="3"/>
        <v>3.6566701054687498</v>
      </c>
      <c r="M62" s="231">
        <f t="shared" si="3"/>
        <v>3.9691701054687498</v>
      </c>
      <c r="N62" s="229"/>
    </row>
    <row r="63" spans="2:17" ht="12" customHeight="1" x14ac:dyDescent="0.2">
      <c r="B63" s="226"/>
      <c r="C63" s="257"/>
      <c r="D63" s="230">
        <v>500</v>
      </c>
      <c r="E63" s="251">
        <f>E$58/($C$62*$D63)</f>
        <v>2.175336084375</v>
      </c>
      <c r="F63" s="251"/>
      <c r="G63" s="231">
        <f>G$58/($C$62*$D63)</f>
        <v>2.425336084375</v>
      </c>
      <c r="H63" s="233"/>
      <c r="I63" s="233"/>
      <c r="J63" s="236"/>
      <c r="K63" s="231">
        <f t="shared" si="3"/>
        <v>2.675336084375</v>
      </c>
      <c r="L63" s="231">
        <f t="shared" si="3"/>
        <v>2.925336084375</v>
      </c>
      <c r="M63" s="231">
        <f t="shared" si="3"/>
        <v>3.175336084375</v>
      </c>
      <c r="N63" s="229"/>
    </row>
    <row r="64" spans="2:17" ht="12" customHeight="1" x14ac:dyDescent="0.2">
      <c r="B64" s="226"/>
      <c r="C64" s="257"/>
      <c r="D64" s="241">
        <v>600</v>
      </c>
      <c r="E64" s="253">
        <f>E$58/($C$62*$D64)</f>
        <v>1.8127800703124999</v>
      </c>
      <c r="F64" s="253"/>
      <c r="G64" s="237">
        <f>G$58/($C$62*$D64)</f>
        <v>2.0211134036458334</v>
      </c>
      <c r="H64" s="235"/>
      <c r="I64" s="235"/>
      <c r="J64" s="236"/>
      <c r="K64" s="231">
        <f t="shared" si="3"/>
        <v>2.2294467369791664</v>
      </c>
      <c r="L64" s="231">
        <f t="shared" si="3"/>
        <v>2.4377800703124999</v>
      </c>
      <c r="M64" s="231">
        <f t="shared" si="3"/>
        <v>2.6461134036458334</v>
      </c>
      <c r="N64" s="229"/>
    </row>
    <row r="65" spans="2:14" ht="12" customHeight="1" x14ac:dyDescent="0.2">
      <c r="B65" s="226"/>
      <c r="C65" s="255">
        <v>0.9</v>
      </c>
      <c r="D65" s="230">
        <v>400</v>
      </c>
      <c r="E65" s="252">
        <f>E$58/($C$65*$D65)</f>
        <v>2.4170400937499998</v>
      </c>
      <c r="F65" s="252"/>
      <c r="G65" s="231">
        <f>G$58/($C$65*$D65)</f>
        <v>2.6948178715277775</v>
      </c>
      <c r="H65" s="239"/>
      <c r="I65" s="239"/>
      <c r="J65" s="240"/>
      <c r="K65" s="238">
        <f t="shared" ref="K65:M67" si="4">K$58/($C$65*$D65)</f>
        <v>2.9725956493055556</v>
      </c>
      <c r="L65" s="238">
        <f t="shared" si="4"/>
        <v>3.2503734270833333</v>
      </c>
      <c r="M65" s="231">
        <f t="shared" si="4"/>
        <v>3.528151204861111</v>
      </c>
      <c r="N65" s="229"/>
    </row>
    <row r="66" spans="2:14" ht="12" customHeight="1" x14ac:dyDescent="0.2">
      <c r="B66" s="226"/>
      <c r="C66" s="255"/>
      <c r="D66" s="230">
        <v>500</v>
      </c>
      <c r="E66" s="251">
        <f>E$58/($C$65*$D66)</f>
        <v>1.933632075</v>
      </c>
      <c r="F66" s="251"/>
      <c r="G66" s="231">
        <f>G$58/($C$65*$D66)</f>
        <v>2.1558542972222221</v>
      </c>
      <c r="H66" s="233"/>
      <c r="I66" s="233"/>
      <c r="J66" s="236"/>
      <c r="K66" s="231">
        <f t="shared" si="4"/>
        <v>2.3780765194444444</v>
      </c>
      <c r="L66" s="231">
        <f t="shared" si="4"/>
        <v>2.6002987416666667</v>
      </c>
      <c r="M66" s="231">
        <f t="shared" si="4"/>
        <v>2.8225209638888886</v>
      </c>
      <c r="N66" s="229"/>
    </row>
    <row r="67" spans="2:14" ht="12" customHeight="1" x14ac:dyDescent="0.2">
      <c r="B67" s="226"/>
      <c r="C67" s="256"/>
      <c r="D67" s="234">
        <v>600</v>
      </c>
      <c r="E67" s="253">
        <f>E$58/($C$65*$D67)</f>
        <v>1.6113600625</v>
      </c>
      <c r="F67" s="253"/>
      <c r="G67" s="237">
        <f>G$58/($C$65*$D67)</f>
        <v>1.7965452476851851</v>
      </c>
      <c r="H67" s="237"/>
      <c r="I67" s="236"/>
      <c r="J67" s="236"/>
      <c r="K67" s="231">
        <f t="shared" si="4"/>
        <v>1.9817304328703702</v>
      </c>
      <c r="L67" s="231">
        <f t="shared" si="4"/>
        <v>2.1669156180555555</v>
      </c>
      <c r="M67" s="231">
        <f t="shared" si="4"/>
        <v>2.3521008032407407</v>
      </c>
      <c r="N67" s="229"/>
    </row>
    <row r="68" spans="2:14" ht="12" customHeight="1" x14ac:dyDescent="0.2">
      <c r="B68" s="226"/>
      <c r="C68" s="258">
        <v>0.95</v>
      </c>
      <c r="D68" s="230">
        <v>400</v>
      </c>
      <c r="E68" s="251">
        <f>E$58/($C$68*$D68)</f>
        <v>2.289827457236842</v>
      </c>
      <c r="F68" s="251"/>
      <c r="G68" s="231">
        <f>G$58/($C$68*$D68)</f>
        <v>2.552985351973684</v>
      </c>
      <c r="H68" s="231"/>
      <c r="I68" s="240"/>
      <c r="J68" s="240"/>
      <c r="K68" s="238">
        <f t="shared" ref="K68:M70" si="5">K$58/($C$68*$D68)</f>
        <v>2.8161432467105261</v>
      </c>
      <c r="L68" s="238">
        <f t="shared" si="5"/>
        <v>3.0793011414473686</v>
      </c>
      <c r="M68" s="238">
        <f t="shared" si="5"/>
        <v>3.3424590361842106</v>
      </c>
      <c r="N68" s="229"/>
    </row>
    <row r="69" spans="2:14" ht="12" customHeight="1" x14ac:dyDescent="0.2">
      <c r="B69" s="226"/>
      <c r="C69" s="255"/>
      <c r="D69" s="230">
        <v>500</v>
      </c>
      <c r="E69" s="251">
        <f>E$58/($C$68*$D69)</f>
        <v>1.8318619657894737</v>
      </c>
      <c r="F69" s="251"/>
      <c r="G69" s="231">
        <f>G$58/($C$68*$D69)</f>
        <v>2.0423882815789471</v>
      </c>
      <c r="H69" s="231"/>
      <c r="I69" s="236"/>
      <c r="J69" s="236"/>
      <c r="K69" s="231">
        <f t="shared" si="5"/>
        <v>2.252914597368421</v>
      </c>
      <c r="L69" s="231">
        <f t="shared" si="5"/>
        <v>2.4634409131578945</v>
      </c>
      <c r="M69" s="231">
        <f t="shared" si="5"/>
        <v>2.6739672289473684</v>
      </c>
      <c r="N69" s="229"/>
    </row>
    <row r="70" spans="2:14" ht="12" customHeight="1" x14ac:dyDescent="0.2">
      <c r="B70" s="226"/>
      <c r="C70" s="259"/>
      <c r="D70" s="241">
        <v>600</v>
      </c>
      <c r="E70" s="251">
        <f>E$58/($C$68*$D70)</f>
        <v>1.5265516381578947</v>
      </c>
      <c r="F70" s="251"/>
      <c r="G70" s="231">
        <f>G$58/($C$68*$D70)</f>
        <v>1.7019902346491227</v>
      </c>
      <c r="H70" s="237"/>
      <c r="I70" s="236"/>
      <c r="J70" s="236"/>
      <c r="K70" s="237">
        <f t="shared" si="5"/>
        <v>1.8774288311403509</v>
      </c>
      <c r="L70" s="231">
        <f t="shared" si="5"/>
        <v>2.052867427631579</v>
      </c>
      <c r="M70" s="237">
        <f t="shared" si="5"/>
        <v>2.2283060241228068</v>
      </c>
      <c r="N70" s="229"/>
    </row>
    <row r="71" spans="2:14" ht="12" customHeight="1" thickBot="1" x14ac:dyDescent="0.25">
      <c r="B71" s="242"/>
      <c r="C71" s="243" t="s">
        <v>160</v>
      </c>
      <c r="D71" s="244"/>
      <c r="E71" s="245"/>
      <c r="F71" s="245"/>
      <c r="G71" s="245"/>
      <c r="H71" s="244"/>
      <c r="I71" s="245"/>
      <c r="J71" s="245"/>
      <c r="K71" s="246"/>
      <c r="L71" s="247"/>
      <c r="M71" s="248"/>
      <c r="N71" s="249"/>
    </row>
  </sheetData>
  <mergeCells count="23">
    <mergeCell ref="C18:M18"/>
    <mergeCell ref="K19:M19"/>
    <mergeCell ref="H58:I58"/>
    <mergeCell ref="C6:G6"/>
    <mergeCell ref="K6:M6"/>
    <mergeCell ref="C59:C61"/>
    <mergeCell ref="C62:C64"/>
    <mergeCell ref="C65:C67"/>
    <mergeCell ref="C68:C70"/>
    <mergeCell ref="E57:M57"/>
    <mergeCell ref="E59:F59"/>
    <mergeCell ref="E58:F58"/>
    <mergeCell ref="E60:F60"/>
    <mergeCell ref="E61:F61"/>
    <mergeCell ref="E62:F62"/>
    <mergeCell ref="E63:F63"/>
    <mergeCell ref="E64:F64"/>
    <mergeCell ref="E69:F69"/>
    <mergeCell ref="E70:F70"/>
    <mergeCell ref="E65:F65"/>
    <mergeCell ref="E66:F66"/>
    <mergeCell ref="E67:F67"/>
    <mergeCell ref="E68:F68"/>
  </mergeCells>
  <printOptions horizontalCentered="1"/>
  <pageMargins left="0.75" right="0.75" top="1" bottom="1" header="0.5" footer="0.5"/>
  <pageSetup scale="78" orientation="portrait" r:id="rId1"/>
  <headerFooter alignWithMargins="0"/>
  <rowBreaks count="1" manualBreakCount="1">
    <brk id="55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C5F5-197B-47C7-B482-816F86AEB3F1}">
  <dimension ref="B1:O37"/>
  <sheetViews>
    <sheetView zoomScale="130" zoomScaleNormal="13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3" width="15.7109375" style="1" customWidth="1"/>
    <col min="4" max="4" width="10.7109375" style="1" customWidth="1"/>
    <col min="5" max="5" width="8.7109375" style="1" customWidth="1"/>
    <col min="6" max="6" width="1.7109375" style="1" customWidth="1"/>
    <col min="7" max="7" width="10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10.7109375" style="1" customWidth="1"/>
    <col min="12" max="12" width="13.7109375" style="1" customWidth="1"/>
    <col min="13" max="13" width="10.7109375" style="1" customWidth="1"/>
    <col min="14" max="14" width="0.85546875" style="1" customWidth="1"/>
    <col min="15" max="15" width="8.85546875" style="1"/>
    <col min="16" max="16" width="1.7109375" style="1" customWidth="1"/>
    <col min="17" max="16384" width="8.85546875" style="1"/>
  </cols>
  <sheetData>
    <row r="1" spans="2:15" ht="19.899999999999999" customHeight="1" x14ac:dyDescent="0.2">
      <c r="C1" s="132" t="s">
        <v>129</v>
      </c>
      <c r="M1" s="128">
        <v>2023</v>
      </c>
    </row>
    <row r="2" spans="2:15" ht="19.899999999999999" customHeight="1" x14ac:dyDescent="0.2">
      <c r="C2" s="129" t="s">
        <v>130</v>
      </c>
    </row>
    <row r="3" spans="2:15" ht="4.9000000000000004" customHeight="1" thickBot="1" x14ac:dyDescent="0.25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2:15" ht="13.9" customHeight="1" x14ac:dyDescent="0.2"/>
    <row r="5" spans="2:15" ht="13.9" customHeight="1" thickBot="1" x14ac:dyDescent="0.25">
      <c r="C5" s="263" t="s">
        <v>93</v>
      </c>
      <c r="D5" s="263"/>
      <c r="E5" s="263"/>
      <c r="F5" s="263"/>
      <c r="G5" s="263"/>
      <c r="H5" s="3"/>
      <c r="I5" s="2"/>
      <c r="J5" s="2"/>
      <c r="K5" s="264" t="s">
        <v>109</v>
      </c>
      <c r="L5" s="264"/>
      <c r="M5" s="264"/>
      <c r="N5" s="2"/>
    </row>
    <row r="6" spans="2:15" ht="4.9000000000000004" customHeight="1" x14ac:dyDescent="0.2">
      <c r="B6" s="4"/>
      <c r="C6" s="5"/>
      <c r="D6" s="5"/>
      <c r="E6" s="5"/>
      <c r="F6" s="5"/>
      <c r="G6" s="5"/>
      <c r="H6" s="6"/>
      <c r="I6" s="2"/>
      <c r="J6" s="50"/>
      <c r="K6" s="51"/>
      <c r="L6" s="51"/>
      <c r="M6" s="51"/>
      <c r="N6" s="34"/>
    </row>
    <row r="7" spans="2:15" ht="13.9" customHeight="1" x14ac:dyDescent="0.2">
      <c r="B7" s="7"/>
      <c r="C7" s="8" t="s">
        <v>97</v>
      </c>
      <c r="D7" s="9"/>
      <c r="E7" s="10"/>
      <c r="F7" s="9"/>
      <c r="G7" s="11">
        <v>200</v>
      </c>
      <c r="H7" s="12"/>
      <c r="I7" s="13"/>
      <c r="J7" s="52"/>
      <c r="K7" s="10" t="s">
        <v>151</v>
      </c>
      <c r="L7" s="10"/>
      <c r="M7" s="130">
        <f>ROUND(G7*G12,0)</f>
        <v>180</v>
      </c>
      <c r="N7" s="53"/>
      <c r="O7" s="14"/>
    </row>
    <row r="8" spans="2:15" ht="13.9" customHeight="1" x14ac:dyDescent="0.2">
      <c r="B8" s="7"/>
      <c r="C8" s="8" t="s">
        <v>106</v>
      </c>
      <c r="D8" s="9"/>
      <c r="E8" s="10"/>
      <c r="F8" s="9"/>
      <c r="G8" s="11">
        <v>22</v>
      </c>
      <c r="H8" s="12"/>
      <c r="I8" s="13"/>
      <c r="J8" s="52"/>
      <c r="K8" s="193" t="s">
        <v>150</v>
      </c>
      <c r="L8" s="10"/>
      <c r="M8" s="130">
        <f>ROUND(M7*E13,0)</f>
        <v>90</v>
      </c>
      <c r="N8" s="53"/>
      <c r="O8" s="14"/>
    </row>
    <row r="9" spans="2:15" ht="13.9" customHeight="1" x14ac:dyDescent="0.2">
      <c r="B9" s="15"/>
      <c r="C9" s="10" t="s">
        <v>94</v>
      </c>
      <c r="D9" s="10"/>
      <c r="E9" s="10"/>
      <c r="F9" s="10"/>
      <c r="G9" s="16">
        <v>0.01</v>
      </c>
      <c r="H9" s="17"/>
      <c r="I9" s="18"/>
      <c r="J9" s="54"/>
      <c r="K9" s="194" t="s">
        <v>149</v>
      </c>
      <c r="L9" s="10"/>
      <c r="M9" s="130">
        <f>M7-M8</f>
        <v>90</v>
      </c>
      <c r="N9" s="55"/>
      <c r="O9" s="10"/>
    </row>
    <row r="10" spans="2:15" ht="13.9" customHeight="1" x14ac:dyDescent="0.2">
      <c r="B10" s="15"/>
      <c r="C10" s="19" t="s">
        <v>107</v>
      </c>
      <c r="D10" s="19"/>
      <c r="E10" s="10"/>
      <c r="F10" s="19"/>
      <c r="G10" s="16">
        <v>0.14000000000000001</v>
      </c>
      <c r="H10" s="17"/>
      <c r="I10" s="18"/>
      <c r="J10" s="54"/>
      <c r="M10" s="200"/>
      <c r="N10" s="55"/>
      <c r="O10" s="10"/>
    </row>
    <row r="11" spans="2:15" ht="13.9" customHeight="1" x14ac:dyDescent="0.2">
      <c r="B11" s="15"/>
      <c r="C11" s="19" t="s">
        <v>108</v>
      </c>
      <c r="D11" s="19"/>
      <c r="E11" s="10"/>
      <c r="F11" s="19"/>
      <c r="G11" s="16">
        <v>0.3</v>
      </c>
      <c r="H11" s="17"/>
      <c r="I11" s="18"/>
      <c r="J11" s="54"/>
      <c r="K11" s="21" t="s">
        <v>148</v>
      </c>
      <c r="L11" s="10"/>
      <c r="M11" s="130">
        <f>ROUND(G7*G14,0)</f>
        <v>40</v>
      </c>
      <c r="N11" s="55"/>
      <c r="O11" s="10"/>
    </row>
    <row r="12" spans="2:15" ht="13.9" customHeight="1" x14ac:dyDescent="0.2">
      <c r="B12" s="20"/>
      <c r="C12" s="21" t="s">
        <v>95</v>
      </c>
      <c r="D12" s="22"/>
      <c r="E12" s="10"/>
      <c r="F12" s="22"/>
      <c r="G12" s="16">
        <v>0.9</v>
      </c>
      <c r="H12" s="17"/>
      <c r="I12" s="18"/>
      <c r="J12" s="54"/>
      <c r="K12" s="21" t="s">
        <v>147</v>
      </c>
      <c r="L12" s="10"/>
      <c r="M12" s="130">
        <f>ROUND(M9-M11,0)</f>
        <v>50</v>
      </c>
      <c r="N12" s="55"/>
      <c r="O12" s="10"/>
    </row>
    <row r="13" spans="2:15" ht="13.9" customHeight="1" x14ac:dyDescent="0.2">
      <c r="B13" s="20"/>
      <c r="C13" s="23" t="s">
        <v>98</v>
      </c>
      <c r="D13" s="22"/>
      <c r="E13" s="16">
        <v>0.5</v>
      </c>
      <c r="F13" s="22"/>
      <c r="G13" s="22"/>
      <c r="H13" s="24"/>
      <c r="I13" s="25"/>
      <c r="J13" s="56"/>
      <c r="K13" s="1" t="s">
        <v>146</v>
      </c>
      <c r="M13" s="200">
        <f>ROUND(M11-(G7*(G9+G10)),0)</f>
        <v>10</v>
      </c>
      <c r="N13" s="55"/>
      <c r="O13" s="10"/>
    </row>
    <row r="14" spans="2:15" ht="13.9" customHeight="1" x14ac:dyDescent="0.2">
      <c r="B14" s="20"/>
      <c r="C14" s="21" t="s">
        <v>105</v>
      </c>
      <c r="D14" s="22"/>
      <c r="E14" s="10"/>
      <c r="F14" s="22"/>
      <c r="G14" s="16">
        <v>0.2</v>
      </c>
      <c r="H14" s="12"/>
      <c r="I14" s="25"/>
      <c r="J14" s="56"/>
      <c r="K14" s="1" t="s">
        <v>145</v>
      </c>
      <c r="M14" s="200">
        <f>ROUND(G7/G8,0)</f>
        <v>9</v>
      </c>
      <c r="N14" s="55"/>
      <c r="O14" s="10"/>
    </row>
    <row r="15" spans="2:15" ht="4.9000000000000004" customHeight="1" thickBot="1" x14ac:dyDescent="0.25">
      <c r="B15" s="26"/>
      <c r="C15" s="27"/>
      <c r="D15" s="27"/>
      <c r="E15" s="27"/>
      <c r="F15" s="27"/>
      <c r="G15" s="27"/>
      <c r="H15" s="28"/>
      <c r="I15" s="13"/>
      <c r="J15" s="57"/>
      <c r="K15" s="58"/>
      <c r="L15" s="27"/>
      <c r="M15" s="27"/>
      <c r="N15" s="28"/>
      <c r="O15" s="10"/>
    </row>
    <row r="16" spans="2:15" ht="13.9" customHeight="1" x14ac:dyDescent="0.2">
      <c r="B16" s="10"/>
      <c r="C16" s="10"/>
      <c r="D16" s="10"/>
      <c r="E16" s="10"/>
      <c r="F16" s="10"/>
      <c r="G16" s="10"/>
      <c r="H16" s="10"/>
      <c r="I16" s="13"/>
      <c r="J16" s="59"/>
      <c r="K16" s="22"/>
      <c r="L16" s="10"/>
      <c r="M16" s="10"/>
      <c r="N16" s="10"/>
      <c r="O16" s="10"/>
    </row>
    <row r="17" spans="2:14" ht="13.9" customHeight="1" thickBot="1" x14ac:dyDescent="0.25">
      <c r="C17" s="268" t="s">
        <v>99</v>
      </c>
      <c r="D17" s="268"/>
      <c r="E17" s="268"/>
      <c r="F17" s="268"/>
      <c r="G17" s="268"/>
      <c r="H17" s="268"/>
      <c r="I17" s="268"/>
      <c r="J17" s="268"/>
      <c r="K17" s="268"/>
      <c r="L17" s="268"/>
      <c r="M17" s="268"/>
    </row>
    <row r="18" spans="2:14" ht="4.9000000000000004" customHeight="1" x14ac:dyDescent="0.2">
      <c r="B18" s="4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</row>
    <row r="19" spans="2:14" ht="13.9" customHeight="1" x14ac:dyDescent="0.2">
      <c r="B19" s="62"/>
      <c r="C19" s="269" t="s">
        <v>138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1"/>
      <c r="N19" s="63"/>
    </row>
    <row r="20" spans="2:14" ht="13.9" customHeight="1" x14ac:dyDescent="0.2">
      <c r="B20" s="62"/>
      <c r="C20" s="272" t="s">
        <v>152</v>
      </c>
      <c r="D20" s="273"/>
      <c r="E20" s="273"/>
      <c r="F20" s="273"/>
      <c r="G20" s="273"/>
      <c r="H20" s="273"/>
      <c r="I20" s="273"/>
      <c r="J20" s="273"/>
      <c r="K20" s="273"/>
      <c r="L20" s="273"/>
      <c r="M20" s="274"/>
      <c r="N20" s="63"/>
    </row>
    <row r="21" spans="2:14" ht="13.9" customHeight="1" x14ac:dyDescent="0.2">
      <c r="B21" s="62"/>
      <c r="C21" s="265"/>
      <c r="D21" s="266"/>
      <c r="E21" s="266"/>
      <c r="F21" s="266"/>
      <c r="G21" s="266"/>
      <c r="H21" s="266"/>
      <c r="I21" s="266"/>
      <c r="J21" s="266"/>
      <c r="K21" s="266"/>
      <c r="L21" s="266"/>
      <c r="M21" s="267"/>
      <c r="N21" s="63"/>
    </row>
    <row r="22" spans="2:14" ht="4.9000000000000004" customHeight="1" thickBot="1" x14ac:dyDescent="0.25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6"/>
    </row>
    <row r="23" spans="2:14" ht="13.9" customHeight="1" x14ac:dyDescent="0.2">
      <c r="B23" s="29"/>
      <c r="C23" s="30"/>
      <c r="D23" s="29"/>
      <c r="E23" s="29"/>
      <c r="F23" s="29"/>
      <c r="G23" s="29"/>
      <c r="H23" s="29"/>
      <c r="I23" s="29"/>
      <c r="J23" s="29"/>
      <c r="K23" s="29"/>
      <c r="L23" s="29"/>
    </row>
    <row r="24" spans="2:14" ht="13.9" customHeight="1" thickBot="1" x14ac:dyDescent="0.25">
      <c r="B24" s="31"/>
      <c r="C24" s="261" t="s">
        <v>75</v>
      </c>
      <c r="D24" s="261"/>
      <c r="E24" s="261"/>
      <c r="F24" s="261"/>
      <c r="G24" s="261"/>
      <c r="H24" s="261"/>
      <c r="I24" s="261"/>
      <c r="J24" s="261"/>
      <c r="K24" s="261"/>
      <c r="L24" s="261"/>
      <c r="M24" s="261"/>
    </row>
    <row r="25" spans="2:14" ht="13.9" customHeight="1" x14ac:dyDescent="0.2">
      <c r="B25" s="4"/>
      <c r="C25" s="32"/>
      <c r="D25" s="32"/>
      <c r="E25" s="33" t="s">
        <v>78</v>
      </c>
      <c r="F25" s="33"/>
      <c r="G25" s="33" t="s">
        <v>81</v>
      </c>
      <c r="H25" s="33"/>
      <c r="I25" s="33"/>
      <c r="J25" s="33"/>
      <c r="K25" s="262" t="s">
        <v>82</v>
      </c>
      <c r="L25" s="262"/>
      <c r="M25" s="262"/>
      <c r="N25" s="34"/>
    </row>
    <row r="26" spans="2:14" ht="13.9" customHeight="1" x14ac:dyDescent="0.2">
      <c r="B26" s="15"/>
      <c r="C26" s="10" t="s">
        <v>76</v>
      </c>
      <c r="D26" s="9"/>
      <c r="E26" s="35" t="s">
        <v>79</v>
      </c>
      <c r="F26" s="35"/>
      <c r="G26" s="35" t="s">
        <v>3</v>
      </c>
      <c r="H26" s="35"/>
      <c r="I26" s="35"/>
      <c r="J26" s="35"/>
      <c r="K26" s="35" t="s">
        <v>83</v>
      </c>
      <c r="L26" s="35" t="s">
        <v>85</v>
      </c>
      <c r="M26" s="35" t="s">
        <v>9</v>
      </c>
      <c r="N26" s="36"/>
    </row>
    <row r="27" spans="2:14" ht="13.9" customHeight="1" thickBot="1" x14ac:dyDescent="0.25">
      <c r="B27" s="15"/>
      <c r="C27" s="27" t="s">
        <v>77</v>
      </c>
      <c r="D27" s="37" t="s">
        <v>61</v>
      </c>
      <c r="E27" s="38" t="s">
        <v>80</v>
      </c>
      <c r="F27" s="38"/>
      <c r="G27" s="38" t="s">
        <v>87</v>
      </c>
      <c r="H27" s="38"/>
      <c r="I27" s="38"/>
      <c r="J27" s="38"/>
      <c r="K27" s="38" t="s">
        <v>84</v>
      </c>
      <c r="L27" s="38" t="s">
        <v>86</v>
      </c>
      <c r="M27" s="38" t="s">
        <v>86</v>
      </c>
      <c r="N27" s="36"/>
    </row>
    <row r="28" spans="2:14" ht="4.9000000000000004" customHeight="1" x14ac:dyDescent="0.2">
      <c r="B28" s="15"/>
      <c r="C28" s="10"/>
      <c r="D28" s="9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2:14" ht="13.9" customHeight="1" x14ac:dyDescent="0.2">
      <c r="B29" s="15"/>
      <c r="C29" s="10" t="s">
        <v>59</v>
      </c>
      <c r="D29" s="39">
        <f>M8</f>
        <v>90</v>
      </c>
      <c r="E29" s="71">
        <v>550</v>
      </c>
      <c r="F29" s="40"/>
      <c r="G29" s="72">
        <v>260</v>
      </c>
      <c r="H29" s="41"/>
      <c r="I29" s="41"/>
      <c r="J29" s="41"/>
      <c r="K29" s="42">
        <f>E29*(G29/100)</f>
        <v>1430</v>
      </c>
      <c r="L29" s="73">
        <f>K29*D29</f>
        <v>128700</v>
      </c>
      <c r="M29" s="42">
        <f t="shared" ref="M29:M34" si="0">L29/$G$7</f>
        <v>643.5</v>
      </c>
      <c r="N29" s="43"/>
    </row>
    <row r="30" spans="2:14" ht="13.9" customHeight="1" x14ac:dyDescent="0.2">
      <c r="B30" s="15"/>
      <c r="C30" s="10" t="s">
        <v>60</v>
      </c>
      <c r="D30" s="39">
        <f>M12</f>
        <v>50</v>
      </c>
      <c r="E30" s="71">
        <v>515</v>
      </c>
      <c r="F30" s="40"/>
      <c r="G30" s="72">
        <v>245</v>
      </c>
      <c r="H30" s="41"/>
      <c r="I30" s="41"/>
      <c r="J30" s="41"/>
      <c r="K30" s="42">
        <f>E30*(G30/100)</f>
        <v>1261.75</v>
      </c>
      <c r="L30" s="73">
        <f>K30*D30</f>
        <v>63087.5</v>
      </c>
      <c r="M30" s="42">
        <f t="shared" si="0"/>
        <v>315.4375</v>
      </c>
      <c r="N30" s="43"/>
    </row>
    <row r="31" spans="2:14" ht="13.9" customHeight="1" x14ac:dyDescent="0.2">
      <c r="B31" s="15"/>
      <c r="C31" s="10" t="s">
        <v>96</v>
      </c>
      <c r="D31" s="39">
        <f>M13</f>
        <v>10</v>
      </c>
      <c r="E31" s="71">
        <v>950</v>
      </c>
      <c r="F31" s="40"/>
      <c r="G31" s="72">
        <v>160</v>
      </c>
      <c r="H31" s="41"/>
      <c r="I31" s="41"/>
      <c r="J31" s="41"/>
      <c r="K31" s="42">
        <f>E31*(G31/100)</f>
        <v>1520</v>
      </c>
      <c r="L31" s="73">
        <f>K31*D31</f>
        <v>15200</v>
      </c>
      <c r="M31" s="42">
        <f t="shared" si="0"/>
        <v>76</v>
      </c>
      <c r="N31" s="43"/>
    </row>
    <row r="32" spans="2:14" ht="13.9" customHeight="1" x14ac:dyDescent="0.2">
      <c r="B32" s="15"/>
      <c r="C32" s="10" t="s">
        <v>73</v>
      </c>
      <c r="D32" s="39">
        <f>G7*G10</f>
        <v>28.000000000000004</v>
      </c>
      <c r="E32" s="71">
        <v>1250</v>
      </c>
      <c r="F32" s="40"/>
      <c r="G32" s="72">
        <v>95</v>
      </c>
      <c r="H32" s="41"/>
      <c r="I32" s="41"/>
      <c r="J32" s="41"/>
      <c r="K32" s="42">
        <f>E32*(G32/100)</f>
        <v>1187.5</v>
      </c>
      <c r="L32" s="73">
        <f>K32*D32</f>
        <v>33250.000000000007</v>
      </c>
      <c r="M32" s="42">
        <f t="shared" si="0"/>
        <v>166.25000000000003</v>
      </c>
      <c r="N32" s="43"/>
    </row>
    <row r="33" spans="2:14" ht="13.9" customHeight="1" x14ac:dyDescent="0.2">
      <c r="B33" s="15"/>
      <c r="C33" s="10" t="s">
        <v>74</v>
      </c>
      <c r="D33" s="39">
        <f>ROUNDDOWN(M14*G11,0)</f>
        <v>2</v>
      </c>
      <c r="E33" s="71">
        <v>1750</v>
      </c>
      <c r="F33" s="40"/>
      <c r="G33" s="72">
        <v>120</v>
      </c>
      <c r="H33" s="41"/>
      <c r="I33" s="41"/>
      <c r="J33" s="41"/>
      <c r="K33" s="42">
        <f>E33*(G33/100)</f>
        <v>2100</v>
      </c>
      <c r="L33" s="73">
        <f>K33*D33</f>
        <v>4200</v>
      </c>
      <c r="M33" s="42">
        <f t="shared" si="0"/>
        <v>21</v>
      </c>
      <c r="N33" s="43"/>
    </row>
    <row r="34" spans="2:14" ht="13.9" customHeight="1" x14ac:dyDescent="0.2">
      <c r="B34" s="15"/>
      <c r="C34" s="10" t="s">
        <v>63</v>
      </c>
      <c r="D34" s="39"/>
      <c r="E34" s="39"/>
      <c r="F34" s="39"/>
      <c r="G34" s="39"/>
      <c r="H34" s="41"/>
      <c r="I34" s="41"/>
      <c r="J34" s="41"/>
      <c r="K34" s="42"/>
      <c r="L34" s="74">
        <v>0</v>
      </c>
      <c r="M34" s="42">
        <f t="shared" si="0"/>
        <v>0</v>
      </c>
      <c r="N34" s="43"/>
    </row>
    <row r="35" spans="2:14" ht="4.9000000000000004" customHeight="1" thickBot="1" x14ac:dyDescent="0.25">
      <c r="B35" s="15"/>
      <c r="C35" s="67"/>
      <c r="D35" s="45"/>
      <c r="E35" s="68"/>
      <c r="F35" s="46"/>
      <c r="G35" s="69"/>
      <c r="H35" s="47"/>
      <c r="I35" s="47"/>
      <c r="J35" s="47"/>
      <c r="K35" s="70"/>
      <c r="L35" s="75"/>
      <c r="M35" s="70"/>
      <c r="N35" s="43"/>
    </row>
    <row r="36" spans="2:14" ht="13.9" customHeight="1" thickTop="1" thickBot="1" x14ac:dyDescent="0.25">
      <c r="B36" s="26"/>
      <c r="C36" s="48" t="s">
        <v>72</v>
      </c>
      <c r="D36" s="37">
        <f>SUM(D29:D35)</f>
        <v>180</v>
      </c>
      <c r="E36" s="27"/>
      <c r="F36" s="27"/>
      <c r="G36" s="27"/>
      <c r="H36" s="27"/>
      <c r="I36" s="27"/>
      <c r="J36" s="27"/>
      <c r="K36" s="27"/>
      <c r="L36" s="139">
        <f>SUM(L29:L35)</f>
        <v>244437.5</v>
      </c>
      <c r="M36" s="138">
        <f>SUM(M29:M35)</f>
        <v>1222.1875</v>
      </c>
      <c r="N36" s="49"/>
    </row>
    <row r="37" spans="2:14" ht="13.9" customHeight="1" x14ac:dyDescent="0.2"/>
  </sheetData>
  <mergeCells count="8">
    <mergeCell ref="C21:M21"/>
    <mergeCell ref="K25:M25"/>
    <mergeCell ref="K5:M5"/>
    <mergeCell ref="C24:M24"/>
    <mergeCell ref="C5:G5"/>
    <mergeCell ref="C17:M17"/>
    <mergeCell ref="C19:M19"/>
    <mergeCell ref="C20:M20"/>
  </mergeCells>
  <phoneticPr fontId="3" type="noConversion"/>
  <printOptions horizontalCentered="1"/>
  <pageMargins left="0.75" right="0.75" top="1" bottom="1" header="0.5" footer="0.5"/>
  <pageSetup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2517-6517-4DC2-B768-BF7BFE620CB1}">
  <dimension ref="A1:P131"/>
  <sheetViews>
    <sheetView showGridLines="0" zoomScale="130" zoomScaleNormal="130" workbookViewId="0"/>
  </sheetViews>
  <sheetFormatPr defaultColWidth="11.42578125" defaultRowHeight="15" customHeight="1" x14ac:dyDescent="0.2"/>
  <cols>
    <col min="1" max="1" width="4.7109375" style="141" customWidth="1"/>
    <col min="2" max="2" width="0.85546875" style="141" customWidth="1"/>
    <col min="3" max="3" width="20.7109375" style="141" customWidth="1"/>
    <col min="4" max="9" width="10.7109375" style="141" customWidth="1"/>
    <col min="10" max="10" width="0.85546875" style="141" customWidth="1"/>
    <col min="11" max="16384" width="11.42578125" style="141"/>
  </cols>
  <sheetData>
    <row r="1" spans="1:11" ht="15" customHeight="1" x14ac:dyDescent="0.2">
      <c r="C1" s="143"/>
      <c r="D1" s="143"/>
      <c r="E1" s="144"/>
      <c r="F1" s="145"/>
    </row>
    <row r="2" spans="1:11" ht="15" customHeight="1" thickBot="1" x14ac:dyDescent="0.25">
      <c r="C2" s="142" t="s">
        <v>139</v>
      </c>
    </row>
    <row r="3" spans="1:11" ht="15" customHeight="1" x14ac:dyDescent="0.2">
      <c r="A3" s="146"/>
      <c r="B3" s="101"/>
      <c r="C3" s="89"/>
      <c r="D3" s="89"/>
      <c r="E3" s="76" t="s">
        <v>2</v>
      </c>
      <c r="F3" s="76"/>
      <c r="G3" s="76" t="s">
        <v>3</v>
      </c>
      <c r="H3" s="275" t="s">
        <v>4</v>
      </c>
      <c r="I3" s="275"/>
      <c r="J3" s="90"/>
    </row>
    <row r="4" spans="1:11" ht="15" customHeight="1" x14ac:dyDescent="0.2">
      <c r="A4" s="146"/>
      <c r="B4" s="102"/>
      <c r="C4" s="77" t="s">
        <v>5</v>
      </c>
      <c r="D4" s="147" t="s">
        <v>6</v>
      </c>
      <c r="E4" s="148" t="s">
        <v>1</v>
      </c>
      <c r="F4" s="104" t="s">
        <v>7</v>
      </c>
      <c r="G4" s="78" t="s">
        <v>8</v>
      </c>
      <c r="H4" s="104" t="s">
        <v>9</v>
      </c>
      <c r="I4" s="104" t="s">
        <v>10</v>
      </c>
      <c r="J4" s="105"/>
    </row>
    <row r="5" spans="1:11" ht="4.9000000000000004" customHeight="1" x14ac:dyDescent="0.2">
      <c r="A5" s="146"/>
      <c r="B5" s="102"/>
      <c r="C5" s="79"/>
      <c r="D5" s="118"/>
      <c r="E5" s="149"/>
      <c r="F5" s="112"/>
      <c r="G5" s="112"/>
      <c r="H5" s="112"/>
      <c r="I5" s="112"/>
      <c r="J5" s="105"/>
    </row>
    <row r="6" spans="1:11" ht="15" customHeight="1" x14ac:dyDescent="0.2">
      <c r="A6" s="146"/>
      <c r="B6" s="102"/>
      <c r="C6" s="79" t="s">
        <v>11</v>
      </c>
      <c r="D6" s="118" t="s">
        <v>12</v>
      </c>
      <c r="E6" s="113">
        <v>10</v>
      </c>
      <c r="F6" s="114">
        <v>150</v>
      </c>
      <c r="G6" s="113">
        <v>220</v>
      </c>
      <c r="H6" s="126">
        <f>E6*F6*(G6/2000)</f>
        <v>165</v>
      </c>
      <c r="I6" s="150">
        <f>H6*'Assumptions + Income'!$G$7</f>
        <v>33000</v>
      </c>
      <c r="J6" s="105"/>
      <c r="K6" s="141" t="s">
        <v>165</v>
      </c>
    </row>
    <row r="7" spans="1:11" ht="15" customHeight="1" x14ac:dyDescent="0.2">
      <c r="A7" s="146"/>
      <c r="B7" s="102"/>
      <c r="C7" s="79" t="s">
        <v>13</v>
      </c>
      <c r="D7" s="118" t="s">
        <v>12</v>
      </c>
      <c r="E7" s="113">
        <v>25</v>
      </c>
      <c r="F7" s="114">
        <v>150</v>
      </c>
      <c r="G7" s="113">
        <v>180</v>
      </c>
      <c r="H7" s="126">
        <f>E7*F7*(G7/2000)</f>
        <v>337.5</v>
      </c>
      <c r="I7" s="150">
        <f>H7*'Assumptions + Income'!$G$7</f>
        <v>67500</v>
      </c>
      <c r="J7" s="105"/>
    </row>
    <row r="8" spans="1:11" ht="15" customHeight="1" x14ac:dyDescent="0.2">
      <c r="A8" s="146"/>
      <c r="B8" s="102"/>
      <c r="C8" s="79" t="s">
        <v>14</v>
      </c>
      <c r="D8" s="118" t="s">
        <v>15</v>
      </c>
      <c r="E8" s="113">
        <v>0</v>
      </c>
      <c r="F8" s="114">
        <v>0</v>
      </c>
      <c r="G8" s="113">
        <v>0</v>
      </c>
      <c r="H8" s="126">
        <f>E8*F8*G8</f>
        <v>0</v>
      </c>
      <c r="I8" s="150">
        <f>H8*'Assumptions + Income'!$G$7</f>
        <v>0</v>
      </c>
      <c r="J8" s="105"/>
    </row>
    <row r="9" spans="1:11" ht="15" customHeight="1" x14ac:dyDescent="0.2">
      <c r="A9" s="146"/>
      <c r="B9" s="102"/>
      <c r="C9" s="79" t="s">
        <v>16</v>
      </c>
      <c r="D9" s="118" t="s">
        <v>12</v>
      </c>
      <c r="E9" s="113">
        <v>0</v>
      </c>
      <c r="F9" s="114">
        <v>0</v>
      </c>
      <c r="G9" s="113">
        <v>0</v>
      </c>
      <c r="H9" s="126">
        <f>E9*F9*(G9/2000)</f>
        <v>0</v>
      </c>
      <c r="I9" s="150">
        <f>H9*'Assumptions + Income'!$G$7</f>
        <v>0</v>
      </c>
      <c r="J9" s="105"/>
    </row>
    <row r="10" spans="1:11" ht="15" customHeight="1" x14ac:dyDescent="0.2">
      <c r="A10" s="146"/>
      <c r="B10" s="102"/>
      <c r="C10" s="79" t="s">
        <v>17</v>
      </c>
      <c r="D10" s="118" t="s">
        <v>12</v>
      </c>
      <c r="E10" s="113">
        <v>1</v>
      </c>
      <c r="F10" s="114">
        <v>365</v>
      </c>
      <c r="G10" s="113">
        <v>80</v>
      </c>
      <c r="H10" s="126">
        <f>E10*F10*(G10/2000)</f>
        <v>14.6</v>
      </c>
      <c r="I10" s="150">
        <f>H10*'Assumptions + Income'!$G$7</f>
        <v>2920</v>
      </c>
      <c r="J10" s="105"/>
    </row>
    <row r="11" spans="1:11" ht="15" customHeight="1" x14ac:dyDescent="0.2">
      <c r="A11" s="146"/>
      <c r="B11" s="102"/>
      <c r="C11" s="79" t="s">
        <v>18</v>
      </c>
      <c r="D11" s="118" t="s">
        <v>24</v>
      </c>
      <c r="E11" s="151"/>
      <c r="F11" s="152"/>
      <c r="G11" s="151"/>
      <c r="H11" s="113">
        <v>0</v>
      </c>
      <c r="I11" s="150">
        <f>H11*'Assumptions + Income'!$G$7</f>
        <v>0</v>
      </c>
      <c r="J11" s="105"/>
    </row>
    <row r="12" spans="1:11" ht="4.9000000000000004" customHeight="1" thickBot="1" x14ac:dyDescent="0.25">
      <c r="A12" s="146"/>
      <c r="B12" s="102"/>
      <c r="C12" s="115"/>
      <c r="D12" s="153"/>
      <c r="E12" s="154"/>
      <c r="F12" s="155"/>
      <c r="G12" s="154"/>
      <c r="H12" s="156"/>
      <c r="I12" s="157"/>
      <c r="J12" s="105"/>
    </row>
    <row r="13" spans="1:11" ht="15" customHeight="1" thickTop="1" thickBot="1" x14ac:dyDescent="0.25">
      <c r="A13" s="146"/>
      <c r="B13" s="110"/>
      <c r="C13" s="81" t="s">
        <v>19</v>
      </c>
      <c r="D13" s="92"/>
      <c r="E13" s="158">
        <f>SUM(E6:E12)</f>
        <v>36</v>
      </c>
      <c r="F13" s="82"/>
      <c r="G13" s="82"/>
      <c r="H13" s="159">
        <f>SUM(H6:H12)</f>
        <v>517.1</v>
      </c>
      <c r="I13" s="160">
        <f>SUM(I6:I12)</f>
        <v>103420</v>
      </c>
      <c r="J13" s="111"/>
    </row>
    <row r="14" spans="1:11" ht="15" customHeight="1" x14ac:dyDescent="0.2">
      <c r="C14" s="142"/>
      <c r="H14" s="79"/>
      <c r="I14" s="107"/>
    </row>
    <row r="15" spans="1:11" ht="15" customHeight="1" thickBot="1" x14ac:dyDescent="0.25">
      <c r="C15" s="142" t="s">
        <v>140</v>
      </c>
    </row>
    <row r="16" spans="1:11" ht="15" customHeight="1" x14ac:dyDescent="0.2">
      <c r="B16" s="101"/>
      <c r="C16" s="89"/>
      <c r="D16" s="89"/>
      <c r="E16" s="76"/>
      <c r="F16" s="76"/>
      <c r="G16" s="76" t="s">
        <v>3</v>
      </c>
      <c r="H16" s="275" t="s">
        <v>4</v>
      </c>
      <c r="I16" s="275"/>
      <c r="J16" s="90"/>
    </row>
    <row r="17" spans="1:11" ht="15" customHeight="1" x14ac:dyDescent="0.2">
      <c r="B17" s="102"/>
      <c r="C17" s="77" t="s">
        <v>5</v>
      </c>
      <c r="D17" s="147" t="s">
        <v>6</v>
      </c>
      <c r="E17" s="78" t="s">
        <v>66</v>
      </c>
      <c r="F17" s="104" t="s">
        <v>7</v>
      </c>
      <c r="G17" s="78" t="s">
        <v>8</v>
      </c>
      <c r="H17" s="104" t="s">
        <v>9</v>
      </c>
      <c r="I17" s="104" t="s">
        <v>10</v>
      </c>
      <c r="J17" s="105"/>
    </row>
    <row r="18" spans="1:11" ht="4.9000000000000004" customHeight="1" x14ac:dyDescent="0.2">
      <c r="B18" s="102"/>
      <c r="C18" s="79"/>
      <c r="D18" s="118"/>
      <c r="E18" s="149"/>
      <c r="F18" s="112"/>
      <c r="G18" s="112"/>
      <c r="H18" s="112"/>
      <c r="I18" s="112"/>
      <c r="J18" s="105"/>
    </row>
    <row r="19" spans="1:11" ht="15" customHeight="1" x14ac:dyDescent="0.2">
      <c r="B19" s="102"/>
      <c r="C19" s="79" t="s">
        <v>110</v>
      </c>
      <c r="D19" s="118" t="s">
        <v>0</v>
      </c>
      <c r="E19" s="114">
        <v>200</v>
      </c>
      <c r="F19" s="114">
        <v>90</v>
      </c>
      <c r="G19" s="113">
        <v>1</v>
      </c>
      <c r="H19" s="126">
        <f>F19*G19</f>
        <v>90</v>
      </c>
      <c r="I19" s="150">
        <f>H19*'Assumptions + Income'!$G$7</f>
        <v>18000</v>
      </c>
      <c r="J19" s="105"/>
    </row>
    <row r="20" spans="1:11" ht="15" customHeight="1" x14ac:dyDescent="0.2">
      <c r="B20" s="102"/>
      <c r="C20" s="79" t="s">
        <v>111</v>
      </c>
      <c r="D20" s="118" t="s">
        <v>0</v>
      </c>
      <c r="E20" s="114"/>
      <c r="F20" s="114"/>
      <c r="G20" s="113"/>
      <c r="H20" s="126">
        <f>E20*F20*(G20/2000)</f>
        <v>0</v>
      </c>
      <c r="I20" s="150">
        <f>H20*'Assumptions + Income'!$G$7</f>
        <v>0</v>
      </c>
      <c r="J20" s="105"/>
    </row>
    <row r="21" spans="1:11" ht="15" customHeight="1" x14ac:dyDescent="0.2">
      <c r="B21" s="102"/>
      <c r="C21" s="79" t="s">
        <v>112</v>
      </c>
      <c r="D21" s="118" t="s">
        <v>141</v>
      </c>
      <c r="E21" s="117"/>
      <c r="F21" s="192"/>
      <c r="G21" s="116"/>
      <c r="H21" s="113">
        <f>1.35*4</f>
        <v>5.4</v>
      </c>
      <c r="I21" s="150">
        <f>H21*'Assumptions + Income'!$G$7</f>
        <v>1080</v>
      </c>
      <c r="J21" s="105"/>
      <c r="K21" s="141" t="s">
        <v>162</v>
      </c>
    </row>
    <row r="22" spans="1:11" ht="15" customHeight="1" x14ac:dyDescent="0.2">
      <c r="B22" s="102"/>
      <c r="C22" s="79" t="s">
        <v>63</v>
      </c>
      <c r="D22" s="118" t="s">
        <v>0</v>
      </c>
      <c r="E22" s="114"/>
      <c r="F22" s="114"/>
      <c r="G22" s="113"/>
      <c r="H22" s="126">
        <v>0</v>
      </c>
      <c r="I22" s="150">
        <f>H22*'Assumptions + Income'!$G$7</f>
        <v>0</v>
      </c>
      <c r="J22" s="105"/>
      <c r="K22" s="141" t="s">
        <v>161</v>
      </c>
    </row>
    <row r="23" spans="1:11" ht="4.9000000000000004" customHeight="1" thickBot="1" x14ac:dyDescent="0.25">
      <c r="B23" s="102"/>
      <c r="C23" s="115"/>
      <c r="D23" s="153"/>
      <c r="E23" s="154"/>
      <c r="F23" s="155"/>
      <c r="G23" s="154"/>
      <c r="H23" s="156"/>
      <c r="I23" s="157"/>
      <c r="J23" s="105"/>
    </row>
    <row r="24" spans="1:11" ht="15" customHeight="1" thickTop="1" thickBot="1" x14ac:dyDescent="0.25">
      <c r="B24" s="110"/>
      <c r="C24" s="81" t="s">
        <v>19</v>
      </c>
      <c r="D24" s="92"/>
      <c r="E24" s="158"/>
      <c r="F24" s="82"/>
      <c r="G24" s="82"/>
      <c r="H24" s="159">
        <f>SUM(H19:H23)</f>
        <v>95.4</v>
      </c>
      <c r="I24" s="160">
        <f>SUM(I19:I23)</f>
        <v>19080</v>
      </c>
      <c r="J24" s="111"/>
    </row>
    <row r="25" spans="1:11" ht="15" customHeight="1" x14ac:dyDescent="0.2">
      <c r="C25" s="142"/>
      <c r="H25" s="79"/>
      <c r="I25" s="107"/>
    </row>
    <row r="26" spans="1:11" ht="15" customHeight="1" thickBot="1" x14ac:dyDescent="0.25">
      <c r="C26" s="142" t="s">
        <v>113</v>
      </c>
      <c r="H26" s="79"/>
      <c r="I26" s="107"/>
    </row>
    <row r="27" spans="1:11" ht="15" customHeight="1" x14ac:dyDescent="0.2">
      <c r="A27" s="146"/>
      <c r="B27" s="101"/>
      <c r="C27" s="89"/>
      <c r="D27" s="89"/>
      <c r="E27" s="89"/>
      <c r="F27" s="76" t="s">
        <v>114</v>
      </c>
      <c r="G27" s="76"/>
      <c r="H27" s="275" t="s">
        <v>4</v>
      </c>
      <c r="I27" s="275"/>
      <c r="J27" s="90"/>
    </row>
    <row r="28" spans="1:11" ht="15" customHeight="1" x14ac:dyDescent="0.2">
      <c r="A28" s="146"/>
      <c r="B28" s="102"/>
      <c r="C28" s="77" t="s">
        <v>5</v>
      </c>
      <c r="D28" s="83" t="s">
        <v>6</v>
      </c>
      <c r="E28" s="78" t="s">
        <v>66</v>
      </c>
      <c r="F28" s="78" t="s">
        <v>115</v>
      </c>
      <c r="G28" s="104"/>
      <c r="H28" s="104" t="s">
        <v>9</v>
      </c>
      <c r="I28" s="104" t="s">
        <v>10</v>
      </c>
      <c r="J28" s="105"/>
    </row>
    <row r="29" spans="1:11" ht="4.9000000000000004" customHeight="1" x14ac:dyDescent="0.2">
      <c r="A29" s="146"/>
      <c r="B29" s="102"/>
      <c r="C29" s="79"/>
      <c r="D29" s="118"/>
      <c r="E29" s="112"/>
      <c r="F29" s="112"/>
      <c r="G29" s="107"/>
      <c r="H29" s="112"/>
      <c r="I29" s="112"/>
      <c r="J29" s="105"/>
    </row>
    <row r="30" spans="1:11" ht="15" customHeight="1" x14ac:dyDescent="0.2">
      <c r="A30" s="146"/>
      <c r="B30" s="102"/>
      <c r="C30" s="79" t="s">
        <v>20</v>
      </c>
      <c r="D30" s="118" t="s">
        <v>21</v>
      </c>
      <c r="E30" s="120">
        <v>0</v>
      </c>
      <c r="F30" s="119">
        <v>0</v>
      </c>
      <c r="H30" s="126">
        <f>I30/'Assumptions + Income'!$G$7</f>
        <v>0</v>
      </c>
      <c r="I30" s="150">
        <f>E30*F30</f>
        <v>0</v>
      </c>
      <c r="J30" s="105"/>
    </row>
    <row r="31" spans="1:11" ht="15" customHeight="1" x14ac:dyDescent="0.2">
      <c r="A31" s="146"/>
      <c r="B31" s="102"/>
      <c r="C31" s="141" t="s">
        <v>22</v>
      </c>
      <c r="D31" s="161" t="s">
        <v>24</v>
      </c>
      <c r="H31" s="126">
        <f>I31/'Assumptions + Income'!$G$7</f>
        <v>0</v>
      </c>
      <c r="I31" s="121">
        <v>0</v>
      </c>
      <c r="J31" s="105"/>
    </row>
    <row r="32" spans="1:11" ht="15" customHeight="1" x14ac:dyDescent="0.2">
      <c r="A32" s="146"/>
      <c r="B32" s="102"/>
      <c r="C32" s="79" t="s">
        <v>23</v>
      </c>
      <c r="D32" s="118" t="s">
        <v>24</v>
      </c>
      <c r="E32" s="120">
        <v>0</v>
      </c>
      <c r="F32" s="85">
        <v>1</v>
      </c>
      <c r="H32" s="126">
        <f>I32/'Assumptions + Income'!$G$7</f>
        <v>0</v>
      </c>
      <c r="I32" s="150">
        <f>E32*F32</f>
        <v>0</v>
      </c>
      <c r="J32" s="105"/>
    </row>
    <row r="33" spans="1:11" ht="15" customHeight="1" x14ac:dyDescent="0.2">
      <c r="A33" s="146"/>
      <c r="B33" s="102"/>
      <c r="C33" s="79" t="s">
        <v>25</v>
      </c>
      <c r="D33" s="118" t="s">
        <v>24</v>
      </c>
      <c r="E33" s="120">
        <v>0</v>
      </c>
      <c r="F33" s="85">
        <v>1</v>
      </c>
      <c r="H33" s="126">
        <f>I33/'Assumptions + Income'!$G$7</f>
        <v>0</v>
      </c>
      <c r="I33" s="150">
        <f>E33*F33</f>
        <v>0</v>
      </c>
      <c r="J33" s="105"/>
    </row>
    <row r="34" spans="1:11" ht="15" customHeight="1" x14ac:dyDescent="0.2">
      <c r="A34" s="146"/>
      <c r="B34" s="102"/>
      <c r="C34" s="79" t="s">
        <v>63</v>
      </c>
      <c r="D34" s="118" t="s">
        <v>24</v>
      </c>
      <c r="E34" s="120">
        <v>0</v>
      </c>
      <c r="F34" s="85">
        <v>1</v>
      </c>
      <c r="H34" s="126">
        <f>I34/'Assumptions + Income'!$G$7</f>
        <v>0</v>
      </c>
      <c r="I34" s="150">
        <f>E34*F34</f>
        <v>0</v>
      </c>
      <c r="J34" s="105"/>
    </row>
    <row r="35" spans="1:11" ht="4.9000000000000004" customHeight="1" thickBot="1" x14ac:dyDescent="0.25">
      <c r="A35" s="146"/>
      <c r="B35" s="102"/>
      <c r="C35" s="115"/>
      <c r="D35" s="162"/>
      <c r="E35" s="163"/>
      <c r="F35" s="86"/>
      <c r="G35" s="97"/>
      <c r="H35" s="156"/>
      <c r="I35" s="157"/>
      <c r="J35" s="105"/>
    </row>
    <row r="36" spans="1:11" ht="15" customHeight="1" thickTop="1" thickBot="1" x14ac:dyDescent="0.25">
      <c r="A36" s="146"/>
      <c r="B36" s="110"/>
      <c r="C36" s="81" t="s">
        <v>71</v>
      </c>
      <c r="D36" s="92"/>
      <c r="E36" s="92"/>
      <c r="F36" s="92"/>
      <c r="G36" s="92"/>
      <c r="H36" s="87">
        <f>SUM(H30:H35)</f>
        <v>0</v>
      </c>
      <c r="I36" s="88">
        <f>SUM(I30:I35)</f>
        <v>0</v>
      </c>
      <c r="J36" s="111"/>
    </row>
    <row r="38" spans="1:11" ht="15" customHeight="1" thickBot="1" x14ac:dyDescent="0.25">
      <c r="C38" s="142" t="s">
        <v>116</v>
      </c>
    </row>
    <row r="39" spans="1:11" ht="15" customHeight="1" x14ac:dyDescent="0.2">
      <c r="A39" s="146"/>
      <c r="B39" s="101"/>
      <c r="C39" s="89"/>
      <c r="D39" s="89"/>
      <c r="E39" s="89"/>
      <c r="F39" s="76" t="s">
        <v>3</v>
      </c>
      <c r="G39" s="89"/>
      <c r="H39" s="275" t="s">
        <v>4</v>
      </c>
      <c r="I39" s="275"/>
      <c r="J39" s="90"/>
    </row>
    <row r="40" spans="1:11" ht="15" customHeight="1" x14ac:dyDescent="0.2">
      <c r="A40" s="146"/>
      <c r="B40" s="102"/>
      <c r="C40" s="77" t="s">
        <v>5</v>
      </c>
      <c r="D40" s="83" t="s">
        <v>6</v>
      </c>
      <c r="E40" s="78" t="s">
        <v>66</v>
      </c>
      <c r="F40" s="78" t="s">
        <v>26</v>
      </c>
      <c r="G40" s="103"/>
      <c r="H40" s="104" t="s">
        <v>9</v>
      </c>
      <c r="I40" s="104" t="s">
        <v>10</v>
      </c>
      <c r="J40" s="105"/>
    </row>
    <row r="41" spans="1:11" ht="4.9000000000000004" customHeight="1" x14ac:dyDescent="0.2">
      <c r="A41" s="146"/>
      <c r="B41" s="102"/>
      <c r="C41" s="79"/>
      <c r="D41" s="118"/>
      <c r="E41" s="112"/>
      <c r="F41" s="112"/>
      <c r="G41" s="107"/>
      <c r="H41" s="112"/>
      <c r="I41" s="112"/>
      <c r="J41" s="105"/>
    </row>
    <row r="42" spans="1:11" ht="15" customHeight="1" x14ac:dyDescent="0.2">
      <c r="A42" s="146"/>
      <c r="B42" s="102"/>
      <c r="C42" s="79" t="s">
        <v>27</v>
      </c>
      <c r="D42" s="118" t="s">
        <v>117</v>
      </c>
      <c r="E42" s="164">
        <f>'Assumptions + Income'!G7</f>
        <v>200</v>
      </c>
      <c r="F42" s="123">
        <v>13</v>
      </c>
      <c r="G42" s="165"/>
      <c r="H42" s="126">
        <f>I42/'Assumptions + Income'!$G$7</f>
        <v>13</v>
      </c>
      <c r="I42" s="84">
        <f>E42*F42</f>
        <v>2600</v>
      </c>
      <c r="J42" s="105"/>
      <c r="K42" s="141" t="s">
        <v>166</v>
      </c>
    </row>
    <row r="43" spans="1:11" ht="15" customHeight="1" x14ac:dyDescent="0.2">
      <c r="A43" s="146"/>
      <c r="B43" s="102"/>
      <c r="C43" s="79" t="s">
        <v>29</v>
      </c>
      <c r="D43" s="118" t="s">
        <v>118</v>
      </c>
      <c r="E43" s="164">
        <f>'Assumptions + Income'!G7</f>
        <v>200</v>
      </c>
      <c r="F43" s="123">
        <v>0</v>
      </c>
      <c r="G43" s="165"/>
      <c r="H43" s="126">
        <f>I43/'Assumptions + Income'!$G$7</f>
        <v>0</v>
      </c>
      <c r="I43" s="84">
        <f>E43*F43</f>
        <v>0</v>
      </c>
      <c r="J43" s="105"/>
    </row>
    <row r="44" spans="1:11" ht="15" customHeight="1" x14ac:dyDescent="0.2">
      <c r="A44" s="146"/>
      <c r="B44" s="102"/>
      <c r="C44" s="79" t="s">
        <v>30</v>
      </c>
      <c r="D44" s="118"/>
      <c r="E44" s="118"/>
      <c r="F44" s="118"/>
      <c r="G44" s="165"/>
      <c r="H44" s="126">
        <f>I44/'Assumptions + Income'!$G$7</f>
        <v>10</v>
      </c>
      <c r="I44" s="121">
        <v>2000</v>
      </c>
      <c r="J44" s="105"/>
      <c r="K44" s="141" t="s">
        <v>163</v>
      </c>
    </row>
    <row r="45" spans="1:11" ht="15" customHeight="1" x14ac:dyDescent="0.2">
      <c r="A45" s="146"/>
      <c r="B45" s="102"/>
      <c r="C45" s="79" t="s">
        <v>31</v>
      </c>
      <c r="D45" s="118" t="s">
        <v>118</v>
      </c>
      <c r="E45" s="166">
        <f>'Assumptions + Income'!G7</f>
        <v>200</v>
      </c>
      <c r="F45" s="123">
        <v>3.75</v>
      </c>
      <c r="G45" s="165"/>
      <c r="H45" s="126">
        <f>I45/'Assumptions + Income'!$G$7</f>
        <v>3.75</v>
      </c>
      <c r="I45" s="84">
        <f>E45*F45</f>
        <v>750</v>
      </c>
      <c r="J45" s="105"/>
    </row>
    <row r="46" spans="1:11" ht="15" customHeight="1" x14ac:dyDescent="0.2">
      <c r="A46" s="146"/>
      <c r="B46" s="102"/>
      <c r="C46" s="79" t="s">
        <v>32</v>
      </c>
      <c r="D46" s="118" t="s">
        <v>119</v>
      </c>
      <c r="E46" s="166">
        <f>'Assumptions + Income'!M14</f>
        <v>9</v>
      </c>
      <c r="F46" s="123">
        <f>47+32+13.6</f>
        <v>92.6</v>
      </c>
      <c r="G46" s="165"/>
      <c r="H46" s="126">
        <f>I46/'Assumptions + Income'!$G$7</f>
        <v>4.1669999999999998</v>
      </c>
      <c r="I46" s="84">
        <f>E46*F46</f>
        <v>833.4</v>
      </c>
      <c r="J46" s="105"/>
      <c r="K46" s="141" t="s">
        <v>164</v>
      </c>
    </row>
    <row r="47" spans="1:11" ht="15" customHeight="1" x14ac:dyDescent="0.2">
      <c r="A47" s="146"/>
      <c r="B47" s="102"/>
      <c r="C47" s="79" t="s">
        <v>33</v>
      </c>
      <c r="D47" s="118"/>
      <c r="E47" s="118"/>
      <c r="F47" s="118"/>
      <c r="G47" s="165"/>
      <c r="H47" s="126">
        <f>I47/'Assumptions + Income'!$G$7</f>
        <v>4.5</v>
      </c>
      <c r="I47" s="121">
        <v>900</v>
      </c>
      <c r="J47" s="105"/>
      <c r="K47" s="141" t="s">
        <v>167</v>
      </c>
    </row>
    <row r="48" spans="1:11" ht="15" customHeight="1" x14ac:dyDescent="0.2">
      <c r="A48" s="146"/>
      <c r="B48" s="102"/>
      <c r="C48" s="141" t="s">
        <v>63</v>
      </c>
      <c r="D48" s="118"/>
      <c r="E48" s="118"/>
      <c r="F48" s="118"/>
      <c r="G48" s="165"/>
      <c r="H48" s="126">
        <f>I48/'Assumptions + Income'!$G$7</f>
        <v>0</v>
      </c>
      <c r="I48" s="121">
        <v>0</v>
      </c>
      <c r="J48" s="105"/>
    </row>
    <row r="49" spans="1:10" ht="4.9000000000000004" customHeight="1" thickBot="1" x14ac:dyDescent="0.25">
      <c r="A49" s="146"/>
      <c r="B49" s="102"/>
      <c r="C49" s="115"/>
      <c r="D49" s="167"/>
      <c r="E49" s="168"/>
      <c r="F49" s="169"/>
      <c r="G49" s="97"/>
      <c r="H49" s="156"/>
      <c r="I49" s="122"/>
      <c r="J49" s="105"/>
    </row>
    <row r="50" spans="1:10" ht="15" customHeight="1" thickTop="1" thickBot="1" x14ac:dyDescent="0.25">
      <c r="A50" s="146"/>
      <c r="B50" s="110"/>
      <c r="C50" s="81" t="s">
        <v>34</v>
      </c>
      <c r="D50" s="92"/>
      <c r="E50" s="92"/>
      <c r="F50" s="92"/>
      <c r="G50" s="92"/>
      <c r="H50" s="93">
        <f>SUM(H42:H49)</f>
        <v>35.417000000000002</v>
      </c>
      <c r="I50" s="94">
        <f>SUM(I42:I49)</f>
        <v>7083.4</v>
      </c>
      <c r="J50" s="111"/>
    </row>
    <row r="52" spans="1:10" ht="15" customHeight="1" thickBot="1" x14ac:dyDescent="0.25">
      <c r="C52" s="142" t="s">
        <v>120</v>
      </c>
    </row>
    <row r="53" spans="1:10" ht="15" customHeight="1" x14ac:dyDescent="0.2">
      <c r="A53" s="140"/>
      <c r="B53" s="101"/>
      <c r="C53" s="89"/>
      <c r="D53" s="89"/>
      <c r="E53" s="89"/>
      <c r="F53" s="76" t="s">
        <v>3</v>
      </c>
      <c r="G53" s="89"/>
      <c r="H53" s="275" t="s">
        <v>4</v>
      </c>
      <c r="I53" s="275"/>
      <c r="J53" s="90"/>
    </row>
    <row r="54" spans="1:10" ht="15" customHeight="1" x14ac:dyDescent="0.2">
      <c r="A54" s="140"/>
      <c r="B54" s="102"/>
      <c r="C54" s="77" t="s">
        <v>5</v>
      </c>
      <c r="D54" s="83" t="s">
        <v>6</v>
      </c>
      <c r="E54" s="78" t="s">
        <v>66</v>
      </c>
      <c r="F54" s="78" t="s">
        <v>26</v>
      </c>
      <c r="G54" s="103"/>
      <c r="H54" s="104" t="s">
        <v>9</v>
      </c>
      <c r="I54" s="104" t="s">
        <v>10</v>
      </c>
      <c r="J54" s="105"/>
    </row>
    <row r="55" spans="1:10" ht="4.9000000000000004" customHeight="1" x14ac:dyDescent="0.2">
      <c r="A55" s="140"/>
      <c r="B55" s="102"/>
      <c r="C55" s="79"/>
      <c r="D55" s="118"/>
      <c r="E55" s="112"/>
      <c r="F55" s="112"/>
      <c r="G55" s="107"/>
      <c r="H55" s="112"/>
      <c r="I55" s="112"/>
      <c r="J55" s="105"/>
    </row>
    <row r="56" spans="1:10" ht="15" customHeight="1" x14ac:dyDescent="0.2">
      <c r="A56" s="140"/>
      <c r="B56" s="102"/>
      <c r="C56" s="79" t="s">
        <v>36</v>
      </c>
      <c r="D56" s="170" t="s">
        <v>28</v>
      </c>
      <c r="E56" s="164">
        <f>'Assumptions + Income'!$G$7</f>
        <v>200</v>
      </c>
      <c r="F56" s="123">
        <v>5</v>
      </c>
      <c r="G56" s="165"/>
      <c r="H56" s="126">
        <f>I56/'Assumptions + Income'!$G$7</f>
        <v>5</v>
      </c>
      <c r="I56" s="84">
        <f>E56*F56</f>
        <v>1000</v>
      </c>
      <c r="J56" s="105"/>
    </row>
    <row r="57" spans="1:10" ht="15" customHeight="1" x14ac:dyDescent="0.2">
      <c r="A57" s="140"/>
      <c r="B57" s="102"/>
      <c r="C57" s="79" t="s">
        <v>37</v>
      </c>
      <c r="D57" s="170"/>
      <c r="E57" s="172"/>
      <c r="F57" s="171"/>
      <c r="G57" s="165"/>
      <c r="H57" s="126">
        <f>I57/'Assumptions + Income'!$G$7</f>
        <v>0</v>
      </c>
      <c r="I57" s="121">
        <v>0</v>
      </c>
      <c r="J57" s="105"/>
    </row>
    <row r="58" spans="1:10" ht="15" customHeight="1" x14ac:dyDescent="0.2">
      <c r="A58" s="140"/>
      <c r="B58" s="102"/>
      <c r="C58" s="79" t="s">
        <v>38</v>
      </c>
      <c r="D58" s="170" t="s">
        <v>28</v>
      </c>
      <c r="E58" s="164">
        <f>'Assumptions + Income'!$G$7</f>
        <v>200</v>
      </c>
      <c r="F58" s="123">
        <v>4.1500000000000004</v>
      </c>
      <c r="G58" s="165"/>
      <c r="H58" s="126">
        <f>I58/'Assumptions + Income'!$G$7</f>
        <v>4.1500000000000004</v>
      </c>
      <c r="I58" s="84">
        <f>E58*F58</f>
        <v>830.00000000000011</v>
      </c>
      <c r="J58" s="105"/>
    </row>
    <row r="59" spans="1:10" ht="15" customHeight="1" x14ac:dyDescent="0.2">
      <c r="A59" s="140"/>
      <c r="B59" s="102"/>
      <c r="C59" s="79" t="s">
        <v>63</v>
      </c>
      <c r="D59" s="170"/>
      <c r="E59" s="172"/>
      <c r="F59" s="171"/>
      <c r="G59" s="165"/>
      <c r="H59" s="126">
        <f>I59/'Assumptions + Income'!$G$7</f>
        <v>0</v>
      </c>
      <c r="I59" s="121">
        <v>0</v>
      </c>
      <c r="J59" s="105"/>
    </row>
    <row r="60" spans="1:10" ht="4.9000000000000004" customHeight="1" thickBot="1" x14ac:dyDescent="0.25">
      <c r="A60" s="140"/>
      <c r="B60" s="102"/>
      <c r="C60" s="80"/>
      <c r="D60" s="167"/>
      <c r="E60" s="168"/>
      <c r="F60" s="169"/>
      <c r="G60" s="173"/>
      <c r="H60" s="109"/>
      <c r="I60" s="91"/>
      <c r="J60" s="105"/>
    </row>
    <row r="61" spans="1:10" ht="15" customHeight="1" thickTop="1" thickBot="1" x14ac:dyDescent="0.25">
      <c r="A61" s="140"/>
      <c r="B61" s="110"/>
      <c r="C61" s="81" t="s">
        <v>39</v>
      </c>
      <c r="D61" s="92"/>
      <c r="E61" s="92"/>
      <c r="F61" s="92"/>
      <c r="G61" s="92"/>
      <c r="H61" s="93">
        <f>SUM(H56:H60)</f>
        <v>9.15</v>
      </c>
      <c r="I61" s="94">
        <f>SUM(I56:I60)</f>
        <v>1830</v>
      </c>
      <c r="J61" s="111"/>
    </row>
    <row r="63" spans="1:10" ht="15" customHeight="1" thickBot="1" x14ac:dyDescent="0.25">
      <c r="C63" s="142" t="s">
        <v>121</v>
      </c>
    </row>
    <row r="64" spans="1:10" ht="15" customHeight="1" x14ac:dyDescent="0.2">
      <c r="A64" s="140"/>
      <c r="B64" s="101"/>
      <c r="C64" s="89"/>
      <c r="D64" s="89"/>
      <c r="E64" s="89"/>
      <c r="F64" s="76" t="s">
        <v>3</v>
      </c>
      <c r="G64" s="89"/>
      <c r="H64" s="275" t="s">
        <v>4</v>
      </c>
      <c r="I64" s="275"/>
      <c r="J64" s="90"/>
    </row>
    <row r="65" spans="1:10" ht="15" customHeight="1" x14ac:dyDescent="0.2">
      <c r="A65" s="140"/>
      <c r="B65" s="102"/>
      <c r="C65" s="77" t="s">
        <v>5</v>
      </c>
      <c r="D65" s="83" t="s">
        <v>6</v>
      </c>
      <c r="E65" s="78" t="s">
        <v>66</v>
      </c>
      <c r="F65" s="78" t="s">
        <v>26</v>
      </c>
      <c r="G65" s="103"/>
      <c r="H65" s="104" t="s">
        <v>9</v>
      </c>
      <c r="I65" s="104" t="s">
        <v>10</v>
      </c>
      <c r="J65" s="105"/>
    </row>
    <row r="66" spans="1:10" ht="15" customHeight="1" x14ac:dyDescent="0.2">
      <c r="A66" s="140"/>
      <c r="B66" s="102"/>
      <c r="C66" s="79"/>
      <c r="D66" s="118"/>
      <c r="E66" s="112"/>
      <c r="F66" s="112"/>
      <c r="G66" s="107"/>
      <c r="H66" s="112"/>
      <c r="I66" s="112"/>
      <c r="J66" s="105"/>
    </row>
    <row r="67" spans="1:10" ht="15" customHeight="1" x14ac:dyDescent="0.2">
      <c r="A67" s="140"/>
      <c r="B67" s="102"/>
      <c r="C67" s="79" t="s">
        <v>41</v>
      </c>
      <c r="D67" s="118" t="s">
        <v>122</v>
      </c>
      <c r="E67" s="121">
        <v>150</v>
      </c>
      <c r="F67" s="123">
        <v>5</v>
      </c>
      <c r="G67" s="165"/>
      <c r="H67" s="126">
        <f>I67/'Assumptions + Income'!$G$7</f>
        <v>3.75</v>
      </c>
      <c r="I67" s="84">
        <f>E67*F67</f>
        <v>750</v>
      </c>
      <c r="J67" s="105"/>
    </row>
    <row r="68" spans="1:10" ht="15" customHeight="1" x14ac:dyDescent="0.2">
      <c r="A68" s="140"/>
      <c r="B68" s="102"/>
      <c r="C68" s="79" t="s">
        <v>42</v>
      </c>
      <c r="D68" s="118" t="s">
        <v>24</v>
      </c>
      <c r="E68" s="164">
        <f>'Assumptions + Income'!L36</f>
        <v>244437.5</v>
      </c>
      <c r="F68" s="124">
        <v>0.02</v>
      </c>
      <c r="G68" s="165"/>
      <c r="H68" s="126">
        <f>I68/'Assumptions + Income'!$G$7</f>
        <v>24.443750000000001</v>
      </c>
      <c r="I68" s="84">
        <f>E68*F68</f>
        <v>4888.75</v>
      </c>
      <c r="J68" s="105"/>
    </row>
    <row r="69" spans="1:10" ht="15" customHeight="1" x14ac:dyDescent="0.2">
      <c r="A69" s="140"/>
      <c r="B69" s="102"/>
      <c r="C69" s="79" t="s">
        <v>43</v>
      </c>
      <c r="D69" s="170" t="s">
        <v>0</v>
      </c>
      <c r="E69" s="164">
        <f>'Assumptions + Income'!D36</f>
        <v>180</v>
      </c>
      <c r="F69" s="123">
        <v>1.5</v>
      </c>
      <c r="G69" s="165"/>
      <c r="H69" s="126">
        <f>I69/'Assumptions + Income'!$G$7</f>
        <v>1.35</v>
      </c>
      <c r="I69" s="84">
        <f>E69*F69</f>
        <v>270</v>
      </c>
      <c r="J69" s="105"/>
    </row>
    <row r="70" spans="1:10" ht="15" customHeight="1" x14ac:dyDescent="0.2">
      <c r="A70" s="140"/>
      <c r="B70" s="102"/>
      <c r="C70" s="79" t="s">
        <v>44</v>
      </c>
      <c r="D70" s="170" t="s">
        <v>0</v>
      </c>
      <c r="E70" s="164">
        <f>'Assumptions + Income'!D36</f>
        <v>180</v>
      </c>
      <c r="F70" s="123">
        <v>0.4</v>
      </c>
      <c r="G70" s="165"/>
      <c r="H70" s="126">
        <f>I70/'Assumptions + Income'!$G$7</f>
        <v>0.36</v>
      </c>
      <c r="I70" s="84">
        <f>E70*F70</f>
        <v>72</v>
      </c>
      <c r="J70" s="105"/>
    </row>
    <row r="71" spans="1:10" ht="15" customHeight="1" x14ac:dyDescent="0.2">
      <c r="A71" s="140"/>
      <c r="B71" s="102"/>
      <c r="C71" s="79" t="s">
        <v>45</v>
      </c>
      <c r="D71" s="170"/>
      <c r="E71" s="172"/>
      <c r="F71" s="96"/>
      <c r="G71" s="165"/>
      <c r="H71" s="126">
        <f>I71/'Assumptions + Income'!$G$7</f>
        <v>0</v>
      </c>
      <c r="I71" s="121">
        <v>0</v>
      </c>
      <c r="J71" s="105"/>
    </row>
    <row r="72" spans="1:10" ht="15" customHeight="1" x14ac:dyDescent="0.2">
      <c r="A72" s="140"/>
      <c r="B72" s="102"/>
      <c r="C72" s="79" t="s">
        <v>46</v>
      </c>
      <c r="D72" s="175"/>
      <c r="E72" s="172"/>
      <c r="F72" s="171"/>
      <c r="G72" s="165"/>
      <c r="H72" s="126">
        <f>I72/'Assumptions + Income'!$G$7</f>
        <v>0</v>
      </c>
      <c r="I72" s="121">
        <v>0</v>
      </c>
      <c r="J72" s="105"/>
    </row>
    <row r="73" spans="1:10" ht="15" customHeight="1" x14ac:dyDescent="0.2">
      <c r="A73" s="140"/>
      <c r="B73" s="102"/>
      <c r="C73" s="79" t="s">
        <v>63</v>
      </c>
      <c r="D73" s="175"/>
      <c r="E73" s="172"/>
      <c r="F73" s="171"/>
      <c r="G73" s="165"/>
      <c r="H73" s="126">
        <f>I73/'Assumptions + Income'!$G$7</f>
        <v>0</v>
      </c>
      <c r="I73" s="121">
        <v>0</v>
      </c>
      <c r="J73" s="105"/>
    </row>
    <row r="74" spans="1:10" ht="4.9000000000000004" customHeight="1" thickBot="1" x14ac:dyDescent="0.25">
      <c r="A74" s="140"/>
      <c r="B74" s="102"/>
      <c r="C74" s="80"/>
      <c r="D74" s="176"/>
      <c r="E74" s="177"/>
      <c r="F74" s="178"/>
      <c r="G74" s="173"/>
      <c r="H74" s="109"/>
      <c r="I74" s="91"/>
      <c r="J74" s="105"/>
    </row>
    <row r="75" spans="1:10" ht="15" customHeight="1" thickTop="1" thickBot="1" x14ac:dyDescent="0.25">
      <c r="A75" s="140"/>
      <c r="B75" s="110"/>
      <c r="C75" s="81" t="s">
        <v>47</v>
      </c>
      <c r="D75" s="92"/>
      <c r="E75" s="92"/>
      <c r="F75" s="92"/>
      <c r="G75" s="92"/>
      <c r="H75" s="93">
        <f>SUM(H67:H70)</f>
        <v>29.903750000000002</v>
      </c>
      <c r="I75" s="94">
        <f>SUM(I67:I70)</f>
        <v>5980.75</v>
      </c>
      <c r="J75" s="111"/>
    </row>
    <row r="77" spans="1:10" ht="15" customHeight="1" thickBot="1" x14ac:dyDescent="0.25">
      <c r="C77" s="142" t="s">
        <v>48</v>
      </c>
    </row>
    <row r="78" spans="1:10" ht="15" customHeight="1" x14ac:dyDescent="0.2">
      <c r="A78" s="146"/>
      <c r="B78" s="101"/>
      <c r="C78" s="89"/>
      <c r="D78" s="95"/>
      <c r="E78" s="89"/>
      <c r="F78" s="76"/>
      <c r="G78" s="89"/>
      <c r="H78" s="275" t="s">
        <v>4</v>
      </c>
      <c r="I78" s="275"/>
      <c r="J78" s="90"/>
    </row>
    <row r="79" spans="1:10" ht="15" customHeight="1" x14ac:dyDescent="0.2">
      <c r="A79" s="146"/>
      <c r="B79" s="102"/>
      <c r="C79" s="77" t="s">
        <v>5</v>
      </c>
      <c r="D79" s="83"/>
      <c r="E79" s="78"/>
      <c r="F79" s="78"/>
      <c r="G79" s="103"/>
      <c r="H79" s="104" t="s">
        <v>9</v>
      </c>
      <c r="I79" s="104" t="s">
        <v>10</v>
      </c>
      <c r="J79" s="105"/>
    </row>
    <row r="80" spans="1:10" ht="4.9000000000000004" customHeight="1" x14ac:dyDescent="0.2">
      <c r="A80" s="146"/>
      <c r="B80" s="102"/>
      <c r="C80" s="79"/>
      <c r="D80" s="118"/>
      <c r="E80" s="112"/>
      <c r="F80" s="112"/>
      <c r="G80" s="107"/>
      <c r="H80" s="112"/>
      <c r="I80" s="112"/>
      <c r="J80" s="105"/>
    </row>
    <row r="81" spans="1:10" ht="15" customHeight="1" x14ac:dyDescent="0.2">
      <c r="A81" s="146"/>
      <c r="B81" s="102"/>
      <c r="C81" s="79" t="s">
        <v>49</v>
      </c>
      <c r="D81" s="175"/>
      <c r="E81" s="172"/>
      <c r="F81" s="171"/>
      <c r="G81" s="165"/>
      <c r="H81" s="126">
        <f>I81/'Assumptions + Income'!$G$7</f>
        <v>50</v>
      </c>
      <c r="I81" s="121">
        <v>10000</v>
      </c>
      <c r="J81" s="105"/>
    </row>
    <row r="82" spans="1:10" ht="15" customHeight="1" x14ac:dyDescent="0.2">
      <c r="A82" s="146"/>
      <c r="B82" s="102"/>
      <c r="C82" s="79" t="s">
        <v>50</v>
      </c>
      <c r="D82" s="175"/>
      <c r="E82" s="172"/>
      <c r="F82" s="171"/>
      <c r="G82" s="165"/>
      <c r="H82" s="126">
        <f>I82/'Assumptions + Income'!$G$7</f>
        <v>0</v>
      </c>
      <c r="I82" s="121">
        <v>0</v>
      </c>
      <c r="J82" s="105"/>
    </row>
    <row r="83" spans="1:10" ht="15" customHeight="1" x14ac:dyDescent="0.2">
      <c r="A83" s="146"/>
      <c r="B83" s="102"/>
      <c r="C83" s="79" t="s">
        <v>51</v>
      </c>
      <c r="D83" s="175"/>
      <c r="E83" s="172"/>
      <c r="F83" s="171"/>
      <c r="G83" s="165"/>
      <c r="H83" s="126">
        <f>I83/'Assumptions + Income'!$G$7</f>
        <v>0</v>
      </c>
      <c r="I83" s="121">
        <v>0</v>
      </c>
      <c r="J83" s="105"/>
    </row>
    <row r="84" spans="1:10" ht="15" customHeight="1" x14ac:dyDescent="0.2">
      <c r="A84" s="146"/>
      <c r="B84" s="102"/>
      <c r="C84" s="79" t="s">
        <v>52</v>
      </c>
      <c r="D84" s="175"/>
      <c r="E84" s="172"/>
      <c r="F84" s="171"/>
      <c r="G84" s="165"/>
      <c r="H84" s="126">
        <f>I84/'Assumptions + Income'!$G$7</f>
        <v>0</v>
      </c>
      <c r="I84" s="121">
        <v>0</v>
      </c>
      <c r="J84" s="105"/>
    </row>
    <row r="85" spans="1:10" ht="15" customHeight="1" x14ac:dyDescent="0.2">
      <c r="A85" s="146"/>
      <c r="B85" s="102"/>
      <c r="C85" s="79" t="s">
        <v>63</v>
      </c>
      <c r="D85" s="175"/>
      <c r="E85" s="172"/>
      <c r="F85" s="171"/>
      <c r="G85" s="165"/>
      <c r="H85" s="126">
        <f>I85/'Assumptions + Income'!$G$7</f>
        <v>0</v>
      </c>
      <c r="I85" s="121">
        <v>0</v>
      </c>
      <c r="J85" s="105"/>
    </row>
    <row r="86" spans="1:10" ht="4.9000000000000004" customHeight="1" thickBot="1" x14ac:dyDescent="0.25">
      <c r="A86" s="146"/>
      <c r="B86" s="102"/>
      <c r="C86" s="115"/>
      <c r="D86" s="153"/>
      <c r="E86" s="177"/>
      <c r="F86" s="97"/>
      <c r="G86" s="97"/>
      <c r="H86" s="156"/>
      <c r="I86" s="122"/>
      <c r="J86" s="105"/>
    </row>
    <row r="87" spans="1:10" ht="15" customHeight="1" thickTop="1" thickBot="1" x14ac:dyDescent="0.25">
      <c r="A87" s="146"/>
      <c r="B87" s="110"/>
      <c r="C87" s="81" t="s">
        <v>69</v>
      </c>
      <c r="D87" s="92"/>
      <c r="E87" s="92"/>
      <c r="F87" s="92"/>
      <c r="G87" s="92"/>
      <c r="H87" s="93">
        <f>SUM(H81:H86)</f>
        <v>50</v>
      </c>
      <c r="I87" s="94">
        <f>SUM(I81:I86)</f>
        <v>10000</v>
      </c>
      <c r="J87" s="111"/>
    </row>
    <row r="89" spans="1:10" ht="15" customHeight="1" thickBot="1" x14ac:dyDescent="0.25">
      <c r="C89" s="142" t="s">
        <v>123</v>
      </c>
    </row>
    <row r="90" spans="1:10" ht="15" customHeight="1" x14ac:dyDescent="0.2">
      <c r="A90" s="140"/>
      <c r="B90" s="101"/>
      <c r="C90" s="89"/>
      <c r="D90" s="89"/>
      <c r="E90" s="89"/>
      <c r="F90" s="76"/>
      <c r="G90" s="89"/>
      <c r="H90" s="275" t="s">
        <v>4</v>
      </c>
      <c r="I90" s="275"/>
      <c r="J90" s="90"/>
    </row>
    <row r="91" spans="1:10" ht="15" customHeight="1" x14ac:dyDescent="0.2">
      <c r="A91" s="140"/>
      <c r="B91" s="102"/>
      <c r="C91" s="77" t="s">
        <v>5</v>
      </c>
      <c r="D91" s="83"/>
      <c r="E91" s="78"/>
      <c r="F91" s="78"/>
      <c r="G91" s="103"/>
      <c r="H91" s="104" t="s">
        <v>9</v>
      </c>
      <c r="I91" s="104" t="s">
        <v>10</v>
      </c>
      <c r="J91" s="105"/>
    </row>
    <row r="92" spans="1:10" ht="4.9000000000000004" customHeight="1" x14ac:dyDescent="0.2">
      <c r="A92" s="140"/>
      <c r="B92" s="102"/>
      <c r="C92" s="79"/>
      <c r="D92" s="118"/>
      <c r="E92" s="112"/>
      <c r="F92" s="112"/>
      <c r="G92" s="107"/>
      <c r="H92" s="112"/>
      <c r="I92" s="112"/>
      <c r="J92" s="105"/>
    </row>
    <row r="93" spans="1:10" ht="15" customHeight="1" x14ac:dyDescent="0.2">
      <c r="A93" s="140"/>
      <c r="B93" s="102"/>
      <c r="C93" s="79" t="s">
        <v>54</v>
      </c>
      <c r="D93" s="175"/>
      <c r="E93" s="172"/>
      <c r="F93" s="171"/>
      <c r="G93" s="165"/>
      <c r="H93" s="126">
        <f>I93/'Assumptions + Income'!$G$7</f>
        <v>0</v>
      </c>
      <c r="I93" s="121">
        <v>0</v>
      </c>
      <c r="J93" s="105"/>
    </row>
    <row r="94" spans="1:10" ht="15" customHeight="1" x14ac:dyDescent="0.2">
      <c r="A94" s="140"/>
      <c r="B94" s="102"/>
      <c r="C94" s="79" t="s">
        <v>55</v>
      </c>
      <c r="E94" s="172"/>
      <c r="F94" s="174">
        <v>0.08</v>
      </c>
      <c r="G94" s="165"/>
      <c r="H94" s="126">
        <f>I94/'Assumptions + Income'!$G$7</f>
        <v>0</v>
      </c>
      <c r="I94" s="164">
        <f>I93*F94</f>
        <v>0</v>
      </c>
      <c r="J94" s="105"/>
    </row>
    <row r="95" spans="1:10" ht="15" customHeight="1" x14ac:dyDescent="0.2">
      <c r="A95" s="140"/>
      <c r="B95" s="102"/>
      <c r="C95" s="79" t="s">
        <v>124</v>
      </c>
      <c r="D95" s="179"/>
      <c r="E95" s="172"/>
      <c r="F95" s="171"/>
      <c r="G95" s="165"/>
      <c r="H95" s="126">
        <f>I95/'Assumptions + Income'!$G$7</f>
        <v>0</v>
      </c>
      <c r="I95" s="121">
        <v>0</v>
      </c>
      <c r="J95" s="105"/>
    </row>
    <row r="96" spans="1:10" ht="15" customHeight="1" x14ac:dyDescent="0.2">
      <c r="A96" s="140"/>
      <c r="B96" s="102"/>
      <c r="C96" s="79" t="s">
        <v>56</v>
      </c>
      <c r="D96" s="175"/>
      <c r="E96" s="172"/>
      <c r="F96" s="171"/>
      <c r="G96" s="165"/>
      <c r="H96" s="126">
        <f>I96/'Assumptions + Income'!$G$7</f>
        <v>0</v>
      </c>
      <c r="I96" s="121">
        <v>0</v>
      </c>
      <c r="J96" s="105"/>
    </row>
    <row r="97" spans="1:10" ht="15" customHeight="1" x14ac:dyDescent="0.2">
      <c r="A97" s="140"/>
      <c r="B97" s="102"/>
      <c r="C97" s="79" t="s">
        <v>57</v>
      </c>
      <c r="D97" s="175"/>
      <c r="E97" s="172"/>
      <c r="F97" s="171"/>
      <c r="G97" s="165"/>
      <c r="H97" s="126">
        <f>I97/'Assumptions + Income'!$G$7</f>
        <v>0</v>
      </c>
      <c r="I97" s="121">
        <v>0</v>
      </c>
      <c r="J97" s="105"/>
    </row>
    <row r="98" spans="1:10" ht="15" customHeight="1" x14ac:dyDescent="0.2">
      <c r="A98" s="140"/>
      <c r="B98" s="102"/>
      <c r="C98" s="79" t="s">
        <v>58</v>
      </c>
      <c r="D98" s="175"/>
      <c r="E98" s="172"/>
      <c r="F98" s="171"/>
      <c r="G98" s="165"/>
      <c r="H98" s="126">
        <f>I98/'Assumptions + Income'!$G$7</f>
        <v>0</v>
      </c>
      <c r="I98" s="121">
        <v>0</v>
      </c>
      <c r="J98" s="105"/>
    </row>
    <row r="99" spans="1:10" ht="15" customHeight="1" x14ac:dyDescent="0.2">
      <c r="A99" s="140"/>
      <c r="B99" s="102"/>
      <c r="C99" s="79" t="s">
        <v>63</v>
      </c>
      <c r="D99" s="175"/>
      <c r="E99" s="172"/>
      <c r="F99" s="171"/>
      <c r="G99" s="165"/>
      <c r="H99" s="126">
        <f>I99/'Assumptions + Income'!$G$7</f>
        <v>0</v>
      </c>
      <c r="I99" s="121">
        <v>0</v>
      </c>
      <c r="J99" s="105"/>
    </row>
    <row r="100" spans="1:10" ht="4.9000000000000004" customHeight="1" thickBot="1" x14ac:dyDescent="0.25">
      <c r="A100" s="140"/>
      <c r="B100" s="102"/>
      <c r="C100" s="115"/>
      <c r="D100" s="162"/>
      <c r="E100" s="180"/>
      <c r="F100" s="99"/>
      <c r="G100" s="181"/>
      <c r="H100" s="156"/>
      <c r="I100" s="125"/>
      <c r="J100" s="105"/>
    </row>
    <row r="101" spans="1:10" ht="15" customHeight="1" thickTop="1" thickBot="1" x14ac:dyDescent="0.25">
      <c r="A101" s="140"/>
      <c r="B101" s="110"/>
      <c r="C101" s="81" t="s">
        <v>68</v>
      </c>
      <c r="D101" s="92"/>
      <c r="E101" s="92"/>
      <c r="F101" s="92"/>
      <c r="G101" s="92"/>
      <c r="H101" s="93">
        <f>SUM(H93:H100)</f>
        <v>0</v>
      </c>
      <c r="I101" s="94">
        <f>SUM(I93:I100)</f>
        <v>0</v>
      </c>
      <c r="J101" s="111"/>
    </row>
    <row r="103" spans="1:10" ht="15" customHeight="1" thickBot="1" x14ac:dyDescent="0.25">
      <c r="C103" s="142" t="s">
        <v>125</v>
      </c>
    </row>
    <row r="104" spans="1:10" ht="15" customHeight="1" x14ac:dyDescent="0.2">
      <c r="A104" s="140"/>
      <c r="B104" s="101"/>
      <c r="C104" s="89"/>
      <c r="D104" s="89"/>
      <c r="E104" s="95" t="s">
        <v>142</v>
      </c>
      <c r="F104" s="76"/>
      <c r="G104" s="89"/>
      <c r="H104" s="275" t="s">
        <v>4</v>
      </c>
      <c r="I104" s="275"/>
      <c r="J104" s="90"/>
    </row>
    <row r="105" spans="1:10" ht="15" customHeight="1" x14ac:dyDescent="0.2">
      <c r="A105" s="140"/>
      <c r="B105" s="102"/>
      <c r="C105" s="77" t="s">
        <v>5</v>
      </c>
      <c r="D105" s="83" t="s">
        <v>100</v>
      </c>
      <c r="E105" s="83" t="s">
        <v>143</v>
      </c>
      <c r="F105" s="83" t="s">
        <v>67</v>
      </c>
      <c r="G105" s="103"/>
      <c r="H105" s="104" t="s">
        <v>9</v>
      </c>
      <c r="I105" s="104" t="s">
        <v>10</v>
      </c>
      <c r="J105" s="105"/>
    </row>
    <row r="106" spans="1:10" ht="4.9000000000000004" customHeight="1" x14ac:dyDescent="0.2">
      <c r="A106" s="140"/>
      <c r="B106" s="102"/>
      <c r="C106" s="79"/>
      <c r="D106" s="118"/>
      <c r="E106" s="112"/>
      <c r="F106" s="112"/>
      <c r="G106" s="107"/>
      <c r="H106" s="112"/>
      <c r="I106" s="112"/>
      <c r="J106" s="105"/>
    </row>
    <row r="107" spans="1:10" ht="15" customHeight="1" x14ac:dyDescent="0.2">
      <c r="A107" s="140"/>
      <c r="B107" s="102"/>
      <c r="C107" s="79" t="s">
        <v>126</v>
      </c>
      <c r="D107" s="106">
        <f>(I13+I24+I36+I50+I61+I75+I87+I101)</f>
        <v>147394.15</v>
      </c>
      <c r="E107" s="127">
        <v>0.5</v>
      </c>
      <c r="F107" s="124">
        <v>0.09</v>
      </c>
      <c r="G107" s="107"/>
      <c r="H107" s="126">
        <f>I107/'Assumptions + Income'!$G$7</f>
        <v>33.163683749999997</v>
      </c>
      <c r="I107" s="98">
        <f>D107*E107*F107</f>
        <v>6632.7367499999991</v>
      </c>
      <c r="J107" s="105"/>
    </row>
    <row r="108" spans="1:10" ht="15" customHeight="1" x14ac:dyDescent="0.2">
      <c r="A108" s="140"/>
      <c r="B108" s="102"/>
      <c r="C108" s="79" t="s">
        <v>127</v>
      </c>
      <c r="E108" s="182"/>
      <c r="F108" s="179"/>
      <c r="G108" s="107"/>
      <c r="H108" s="126">
        <f>I108/'Assumptions + Income'!$G$7</f>
        <v>0</v>
      </c>
      <c r="I108" s="121">
        <v>0</v>
      </c>
      <c r="J108" s="105"/>
    </row>
    <row r="109" spans="1:10" ht="15" customHeight="1" x14ac:dyDescent="0.2">
      <c r="A109" s="140"/>
      <c r="B109" s="102"/>
      <c r="C109" s="79" t="s">
        <v>128</v>
      </c>
      <c r="E109" s="182"/>
      <c r="F109" s="179"/>
      <c r="G109" s="107"/>
      <c r="H109" s="126">
        <f>I109/'Assumptions + Income'!$G$7</f>
        <v>0</v>
      </c>
      <c r="I109" s="121">
        <v>0</v>
      </c>
      <c r="J109" s="105"/>
    </row>
    <row r="110" spans="1:10" ht="15" customHeight="1" x14ac:dyDescent="0.2">
      <c r="A110" s="140"/>
      <c r="B110" s="102"/>
      <c r="C110" s="79" t="s">
        <v>64</v>
      </c>
      <c r="E110" s="182"/>
      <c r="F110" s="179"/>
      <c r="G110" s="107"/>
      <c r="H110" s="126">
        <f>I110/'Assumptions + Income'!$G$7</f>
        <v>0</v>
      </c>
      <c r="I110" s="121">
        <v>0</v>
      </c>
      <c r="J110" s="105"/>
    </row>
    <row r="111" spans="1:10" ht="4.9000000000000004" customHeight="1" thickBot="1" x14ac:dyDescent="0.25">
      <c r="A111" s="140"/>
      <c r="B111" s="102"/>
      <c r="C111" s="80"/>
      <c r="D111" s="183"/>
      <c r="E111" s="184"/>
      <c r="F111" s="185"/>
      <c r="G111" s="108"/>
      <c r="H111" s="109"/>
      <c r="I111" s="100"/>
      <c r="J111" s="105"/>
    </row>
    <row r="112" spans="1:10" ht="15" customHeight="1" thickTop="1" thickBot="1" x14ac:dyDescent="0.25">
      <c r="A112" s="140"/>
      <c r="B112" s="110"/>
      <c r="C112" s="81" t="s">
        <v>70</v>
      </c>
      <c r="D112" s="92"/>
      <c r="E112" s="92"/>
      <c r="F112" s="92"/>
      <c r="G112" s="92"/>
      <c r="H112" s="93">
        <f>SUM(H107:H111)</f>
        <v>33.163683749999997</v>
      </c>
      <c r="I112" s="94">
        <f>SUM(I107:I111)</f>
        <v>6632.7367499999991</v>
      </c>
      <c r="J112" s="111"/>
    </row>
    <row r="114" spans="1:16" ht="15" customHeight="1" thickBot="1" x14ac:dyDescent="0.25">
      <c r="C114" s="142" t="s">
        <v>155</v>
      </c>
    </row>
    <row r="115" spans="1:16" ht="15" customHeight="1" x14ac:dyDescent="0.2">
      <c r="A115" s="140"/>
      <c r="B115" s="101"/>
      <c r="C115" s="89"/>
      <c r="D115" s="89"/>
      <c r="E115" s="89"/>
      <c r="F115" s="76"/>
      <c r="G115" s="89"/>
      <c r="H115" s="275" t="s">
        <v>4</v>
      </c>
      <c r="I115" s="275"/>
      <c r="J115" s="90"/>
    </row>
    <row r="116" spans="1:16" ht="15" customHeight="1" x14ac:dyDescent="0.2">
      <c r="A116" s="140"/>
      <c r="B116" s="102"/>
      <c r="C116" s="77" t="s">
        <v>5</v>
      </c>
      <c r="D116" s="83" t="s">
        <v>6</v>
      </c>
      <c r="E116" s="78" t="s">
        <v>66</v>
      </c>
      <c r="F116" s="78"/>
      <c r="G116" s="103"/>
      <c r="H116" s="104" t="s">
        <v>9</v>
      </c>
      <c r="I116" s="104" t="s">
        <v>10</v>
      </c>
      <c r="J116" s="105"/>
    </row>
    <row r="117" spans="1:16" ht="4.9000000000000004" customHeight="1" x14ac:dyDescent="0.2">
      <c r="A117" s="140"/>
      <c r="B117" s="102"/>
      <c r="C117" s="79"/>
      <c r="D117" s="118"/>
      <c r="E117" s="112"/>
      <c r="F117" s="112"/>
      <c r="G117" s="107"/>
      <c r="H117" s="112"/>
      <c r="I117" s="112"/>
      <c r="J117" s="105"/>
    </row>
    <row r="118" spans="1:16" ht="15" customHeight="1" x14ac:dyDescent="0.2">
      <c r="A118" s="140"/>
      <c r="B118" s="102"/>
      <c r="C118" s="79" t="s">
        <v>88</v>
      </c>
      <c r="E118" s="182"/>
      <c r="F118" s="179"/>
      <c r="G118" s="107"/>
      <c r="H118" s="126">
        <f>I118/'Assumptions + Income'!$G$7</f>
        <v>60</v>
      </c>
      <c r="I118" s="121">
        <v>12000</v>
      </c>
      <c r="J118" s="105"/>
    </row>
    <row r="119" spans="1:16" ht="15" customHeight="1" x14ac:dyDescent="0.2">
      <c r="A119" s="140"/>
      <c r="B119" s="102"/>
      <c r="C119" s="79" t="s">
        <v>89</v>
      </c>
      <c r="E119" s="182"/>
      <c r="F119" s="179"/>
      <c r="G119" s="107"/>
      <c r="H119" s="126">
        <f>I119/'Assumptions + Income'!$G$7</f>
        <v>25</v>
      </c>
      <c r="I119" s="121">
        <v>5000</v>
      </c>
      <c r="J119" s="105"/>
    </row>
    <row r="120" spans="1:16" ht="15" customHeight="1" x14ac:dyDescent="0.2">
      <c r="A120" s="140"/>
      <c r="B120" s="102"/>
      <c r="C120" s="79" t="s">
        <v>90</v>
      </c>
      <c r="E120" s="182"/>
      <c r="F120" s="179"/>
      <c r="G120" s="107"/>
      <c r="H120" s="126">
        <f>I120/'Assumptions + Income'!$G$7</f>
        <v>0</v>
      </c>
      <c r="I120" s="121">
        <v>0</v>
      </c>
      <c r="J120" s="105"/>
    </row>
    <row r="121" spans="1:16" ht="4.9000000000000004" customHeight="1" thickBot="1" x14ac:dyDescent="0.25">
      <c r="A121" s="140"/>
      <c r="B121" s="102"/>
      <c r="C121" s="115"/>
      <c r="D121" s="162"/>
      <c r="E121" s="186"/>
      <c r="F121" s="187"/>
      <c r="G121" s="181"/>
      <c r="H121" s="156"/>
      <c r="I121" s="125"/>
      <c r="J121" s="105"/>
    </row>
    <row r="122" spans="1:16" ht="15" customHeight="1" thickTop="1" thickBot="1" x14ac:dyDescent="0.25">
      <c r="A122" s="140"/>
      <c r="B122" s="110"/>
      <c r="C122" s="81" t="s">
        <v>154</v>
      </c>
      <c r="D122" s="92"/>
      <c r="E122" s="92"/>
      <c r="F122" s="92"/>
      <c r="G122" s="92"/>
      <c r="H122" s="93">
        <f>SUM(H118:H121)</f>
        <v>85</v>
      </c>
      <c r="I122" s="94">
        <f>SUM(I118:I121)</f>
        <v>17000</v>
      </c>
      <c r="J122" s="111"/>
      <c r="K122" s="188"/>
      <c r="L122" s="188"/>
      <c r="M122" s="188"/>
      <c r="N122" s="188"/>
      <c r="O122" s="188"/>
      <c r="P122" s="188"/>
    </row>
    <row r="125" spans="1:16" ht="15" customHeight="1" thickBot="1" x14ac:dyDescent="0.25">
      <c r="C125" s="142" t="s">
        <v>156</v>
      </c>
    </row>
    <row r="126" spans="1:16" ht="15" customHeight="1" x14ac:dyDescent="0.2">
      <c r="B126" s="101"/>
      <c r="C126" s="89"/>
      <c r="D126" s="89"/>
      <c r="E126" s="89"/>
      <c r="F126" s="76"/>
      <c r="G126" s="89"/>
      <c r="H126" s="275" t="s">
        <v>4</v>
      </c>
      <c r="I126" s="275"/>
      <c r="J126" s="90"/>
    </row>
    <row r="127" spans="1:16" ht="15" customHeight="1" x14ac:dyDescent="0.2">
      <c r="B127" s="102"/>
      <c r="C127" s="77" t="s">
        <v>5</v>
      </c>
      <c r="D127" s="83" t="s">
        <v>6</v>
      </c>
      <c r="E127" s="78" t="s">
        <v>66</v>
      </c>
      <c r="F127" s="78"/>
      <c r="G127" s="103"/>
      <c r="H127" s="104" t="s">
        <v>9</v>
      </c>
      <c r="I127" s="104" t="s">
        <v>10</v>
      </c>
      <c r="J127" s="105"/>
    </row>
    <row r="128" spans="1:16" ht="5.0999999999999996" customHeight="1" x14ac:dyDescent="0.2">
      <c r="B128" s="102"/>
      <c r="C128" s="79"/>
      <c r="D128" s="118"/>
      <c r="E128" s="112"/>
      <c r="F128" s="112"/>
      <c r="G128" s="107"/>
      <c r="H128" s="112"/>
      <c r="I128" s="112"/>
      <c r="J128" s="105"/>
    </row>
    <row r="129" spans="2:11" ht="15" customHeight="1" x14ac:dyDescent="0.2">
      <c r="B129" s="102"/>
      <c r="C129" s="79" t="s">
        <v>157</v>
      </c>
      <c r="E129" s="182"/>
      <c r="F129" s="179"/>
      <c r="G129" s="107"/>
      <c r="H129" s="126">
        <f>I129/'Assumptions + Income'!$G$7</f>
        <v>300</v>
      </c>
      <c r="I129" s="121">
        <v>60000</v>
      </c>
      <c r="J129" s="105"/>
      <c r="K129" s="141" t="s">
        <v>168</v>
      </c>
    </row>
    <row r="130" spans="2:11" ht="5.0999999999999996" customHeight="1" thickBot="1" x14ac:dyDescent="0.25">
      <c r="B130" s="102"/>
      <c r="C130" s="115"/>
      <c r="D130" s="162"/>
      <c r="E130" s="186"/>
      <c r="F130" s="187"/>
      <c r="G130" s="181"/>
      <c r="H130" s="156"/>
      <c r="I130" s="125"/>
      <c r="J130" s="105"/>
    </row>
    <row r="131" spans="2:11" ht="15" customHeight="1" thickTop="1" thickBot="1" x14ac:dyDescent="0.25">
      <c r="B131" s="110"/>
      <c r="C131" s="81" t="s">
        <v>154</v>
      </c>
      <c r="D131" s="92"/>
      <c r="E131" s="92"/>
      <c r="F131" s="92"/>
      <c r="G131" s="92"/>
      <c r="H131" s="93">
        <f>SUM(H129:H130)</f>
        <v>300</v>
      </c>
      <c r="I131" s="94">
        <f>SUM(I129:I130)</f>
        <v>60000</v>
      </c>
      <c r="J131" s="111"/>
      <c r="K131" s="188"/>
    </row>
  </sheetData>
  <mergeCells count="11">
    <mergeCell ref="H64:I64"/>
    <mergeCell ref="H78:I78"/>
    <mergeCell ref="H27:I27"/>
    <mergeCell ref="H39:I39"/>
    <mergeCell ref="H126:I126"/>
    <mergeCell ref="H3:I3"/>
    <mergeCell ref="H104:I104"/>
    <mergeCell ref="H90:I90"/>
    <mergeCell ref="H53:I53"/>
    <mergeCell ref="H16:I16"/>
    <mergeCell ref="H115:I115"/>
  </mergeCells>
  <phoneticPr fontId="2" type="noConversion"/>
  <printOptions horizontalCentered="1"/>
  <pageMargins left="0.75" right="0.75" top="1" bottom="1" header="0.5" footer="0.5"/>
  <pageSetup orientation="portrait" r:id="rId1"/>
  <headerFooter alignWithMargins="0"/>
  <rowBreaks count="2" manualBreakCount="2">
    <brk id="36" max="16383" man="1"/>
    <brk id="75" min="1" max="9" man="1"/>
  </rowBreaks>
  <ignoredErrors>
    <ignoredError sqref="H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Summary Budget</vt:lpstr>
      <vt:lpstr>Assumptions + Income</vt:lpstr>
      <vt:lpstr>Cow Carrying Costs</vt:lpstr>
      <vt:lpstr>'Assumptions + Income'!Print_Area</vt:lpstr>
      <vt:lpstr>'Cow Carrying Costs'!Print_Area</vt:lpstr>
      <vt:lpstr>'Summary Budget'!Print_Area</vt:lpstr>
      <vt:lpstr>'Cow Carrying Costs'!Print_Titles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</dc:creator>
  <cp:lastModifiedBy>TJ McKee</cp:lastModifiedBy>
  <cp:lastPrinted>2022-10-20T17:56:54Z</cp:lastPrinted>
  <dcterms:created xsi:type="dcterms:W3CDTF">2005-01-26T22:32:31Z</dcterms:created>
  <dcterms:modified xsi:type="dcterms:W3CDTF">2026-10-14T21:27:05Z</dcterms:modified>
</cp:coreProperties>
</file>