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ckeetj\Downloads\"/>
    </mc:Choice>
  </mc:AlternateContent>
  <xr:revisionPtr revIDLastSave="0" documentId="8_{335DC8E1-032F-402A-A298-3E15192D4AC4}" xr6:coauthVersionLast="47" xr6:coauthVersionMax="47" xr10:uidLastSave="{00000000-0000-0000-0000-000000000000}"/>
  <bookViews>
    <workbookView xWindow="-120" yWindow="-120" windowWidth="29040" windowHeight="15720" xr2:uid="{985361B9-5EAF-488D-9D07-A382EB4037B8}"/>
  </bookViews>
  <sheets>
    <sheet name="Summary Budget" sheetId="14" r:id="rId1"/>
    <sheet name="Assumptions + Income" sheetId="13" r:id="rId2"/>
    <sheet name="Cow Carrying Costs" sheetId="10" r:id="rId3"/>
  </sheets>
  <definedNames>
    <definedName name="_xlnm.Print_Area" localSheetId="1">'Assumptions + Income'!$B$1:$N$37</definedName>
    <definedName name="_xlnm.Print_Area" localSheetId="2">'Cow Carrying Costs'!$B$2:$J$125</definedName>
    <definedName name="_xlnm.Print_Area" localSheetId="0">'Summary Budget'!$B$1:$N$71</definedName>
    <definedName name="Print_Area_MI">#REF!</definedName>
    <definedName name="_xlnm.Print_Titles" localSheetId="2">'Cow Carrying Costs'!$1:$1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6" i="10" l="1"/>
  <c r="I6" i="10"/>
  <c r="H7" i="10"/>
  <c r="I7" i="10"/>
  <c r="H8" i="10"/>
  <c r="I8" i="10"/>
  <c r="H9" i="10"/>
  <c r="I9" i="10"/>
  <c r="H10" i="10"/>
  <c r="I10" i="10"/>
  <c r="H11" i="10"/>
  <c r="I11" i="10"/>
  <c r="I12" i="10"/>
  <c r="E14" i="10"/>
  <c r="H14" i="10"/>
  <c r="I14" i="10"/>
  <c r="L17" i="10"/>
  <c r="H20" i="10"/>
  <c r="I20" i="10"/>
  <c r="H21" i="10"/>
  <c r="I21" i="10"/>
  <c r="H22" i="10"/>
  <c r="I22" i="10"/>
  <c r="H23" i="10"/>
  <c r="I23" i="10"/>
  <c r="H25" i="10"/>
  <c r="I25" i="10"/>
  <c r="L26" i="10"/>
  <c r="H31" i="10"/>
  <c r="I31" i="10"/>
  <c r="H32" i="10"/>
  <c r="H33" i="10"/>
  <c r="I33" i="10"/>
  <c r="H34" i="10"/>
  <c r="I34" i="10"/>
  <c r="H35" i="10"/>
  <c r="I35" i="10"/>
  <c r="H37" i="10"/>
  <c r="I37" i="10"/>
  <c r="E43" i="10"/>
  <c r="F43" i="10"/>
  <c r="H43" i="10"/>
  <c r="I43" i="10"/>
  <c r="E44" i="10"/>
  <c r="H44" i="10"/>
  <c r="I44" i="10"/>
  <c r="E45" i="10"/>
  <c r="F45" i="10"/>
  <c r="H45" i="10"/>
  <c r="I45" i="10"/>
  <c r="H46" i="10"/>
  <c r="I46" i="10"/>
  <c r="E47" i="10"/>
  <c r="H47" i="10"/>
  <c r="I47" i="10"/>
  <c r="E48" i="10"/>
  <c r="H48" i="10"/>
  <c r="I48" i="10"/>
  <c r="H49" i="10"/>
  <c r="H50" i="10"/>
  <c r="I50" i="10"/>
  <c r="H52" i="10"/>
  <c r="I52" i="10"/>
  <c r="E58" i="10"/>
  <c r="H58" i="10"/>
  <c r="I58" i="10"/>
  <c r="H59" i="10"/>
  <c r="E60" i="10"/>
  <c r="H60" i="10"/>
  <c r="I60" i="10"/>
  <c r="H61" i="10"/>
  <c r="H63" i="10"/>
  <c r="I63" i="10"/>
  <c r="H69" i="10"/>
  <c r="I69" i="10"/>
  <c r="E70" i="10"/>
  <c r="H70" i="10"/>
  <c r="I70" i="10"/>
  <c r="E71" i="10"/>
  <c r="H71" i="10"/>
  <c r="I71" i="10"/>
  <c r="E72" i="10"/>
  <c r="H72" i="10"/>
  <c r="I72" i="10"/>
  <c r="E73" i="10"/>
  <c r="H73" i="10"/>
  <c r="I73" i="10"/>
  <c r="H74" i="10"/>
  <c r="H75" i="10"/>
  <c r="H76" i="10"/>
  <c r="I76" i="10"/>
  <c r="H78" i="10"/>
  <c r="I78" i="10"/>
  <c r="H84" i="10"/>
  <c r="H85" i="10"/>
  <c r="H86" i="10"/>
  <c r="H87" i="10"/>
  <c r="H88" i="10"/>
  <c r="H90" i="10"/>
  <c r="I90" i="10"/>
  <c r="H96" i="10"/>
  <c r="H97" i="10"/>
  <c r="I97" i="10"/>
  <c r="H98" i="10"/>
  <c r="H99" i="10"/>
  <c r="H100" i="10"/>
  <c r="H101" i="10"/>
  <c r="H102" i="10"/>
  <c r="H104" i="10"/>
  <c r="I104" i="10"/>
  <c r="D110" i="10"/>
  <c r="H110" i="10"/>
  <c r="I110" i="10"/>
  <c r="H111" i="10"/>
  <c r="H112" i="10"/>
  <c r="H113" i="10"/>
  <c r="H115" i="10"/>
  <c r="I115" i="10"/>
  <c r="H121" i="10"/>
  <c r="H122" i="10"/>
  <c r="I122" i="10"/>
  <c r="H123" i="10"/>
  <c r="H125" i="10"/>
  <c r="I125" i="10"/>
  <c r="H131" i="10"/>
  <c r="I131" i="10"/>
  <c r="H133" i="10"/>
  <c r="I133" i="10"/>
  <c r="M7" i="13"/>
  <c r="M8" i="13"/>
  <c r="M9" i="13"/>
  <c r="M11" i="13"/>
  <c r="M12" i="13"/>
  <c r="M13" i="13"/>
  <c r="M14" i="13"/>
  <c r="D29" i="13"/>
  <c r="K29" i="13"/>
  <c r="L29" i="13"/>
  <c r="M29" i="13"/>
  <c r="D30" i="13"/>
  <c r="K30" i="13"/>
  <c r="L30" i="13"/>
  <c r="M30" i="13"/>
  <c r="D31" i="13"/>
  <c r="K31" i="13"/>
  <c r="L31" i="13"/>
  <c r="M31" i="13"/>
  <c r="D32" i="13"/>
  <c r="K32" i="13"/>
  <c r="L32" i="13"/>
  <c r="M32" i="13"/>
  <c r="D33" i="13"/>
  <c r="K33" i="13"/>
  <c r="L33" i="13"/>
  <c r="M33" i="13"/>
  <c r="M34" i="13"/>
  <c r="D36" i="13"/>
  <c r="L36" i="13"/>
  <c r="M36" i="13"/>
  <c r="G38" i="13"/>
  <c r="G39" i="13"/>
  <c r="G40" i="13"/>
  <c r="G41" i="13"/>
  <c r="G42" i="13"/>
  <c r="G43" i="13"/>
  <c r="G8" i="14"/>
  <c r="M8" i="14"/>
  <c r="G9" i="14"/>
  <c r="M9" i="14"/>
  <c r="G10" i="14"/>
  <c r="M10" i="14"/>
  <c r="G11" i="14"/>
  <c r="M11" i="14"/>
  <c r="G12" i="14"/>
  <c r="M12" i="14"/>
  <c r="G13" i="14"/>
  <c r="M14" i="14"/>
  <c r="G15" i="14"/>
  <c r="M15" i="14"/>
  <c r="D23" i="14"/>
  <c r="E23" i="14"/>
  <c r="G23" i="14"/>
  <c r="K23" i="14"/>
  <c r="L23" i="14"/>
  <c r="M23" i="14"/>
  <c r="D24" i="14"/>
  <c r="E24" i="14"/>
  <c r="G24" i="14"/>
  <c r="K24" i="14"/>
  <c r="L24" i="14"/>
  <c r="M24" i="14"/>
  <c r="D25" i="14"/>
  <c r="E25" i="14"/>
  <c r="G25" i="14"/>
  <c r="K25" i="14"/>
  <c r="L25" i="14"/>
  <c r="M25" i="14"/>
  <c r="D26" i="14"/>
  <c r="E26" i="14"/>
  <c r="G26" i="14"/>
  <c r="K26" i="14"/>
  <c r="L26" i="14"/>
  <c r="M26" i="14"/>
  <c r="D27" i="14"/>
  <c r="E27" i="14"/>
  <c r="G27" i="14"/>
  <c r="K27" i="14"/>
  <c r="L27" i="14"/>
  <c r="M27" i="14"/>
  <c r="M28" i="14"/>
  <c r="L30" i="14"/>
  <c r="M30" i="14"/>
  <c r="L34" i="14"/>
  <c r="M34" i="14"/>
  <c r="L35" i="14"/>
  <c r="M35" i="14"/>
  <c r="L36" i="14"/>
  <c r="M36" i="14"/>
  <c r="L37" i="14"/>
  <c r="M37" i="14"/>
  <c r="L38" i="14"/>
  <c r="M38" i="14"/>
  <c r="L39" i="14"/>
  <c r="M39" i="14"/>
  <c r="L40" i="14"/>
  <c r="M40" i="14"/>
  <c r="L41" i="14"/>
  <c r="M41" i="14"/>
  <c r="L43" i="14"/>
  <c r="M43" i="14"/>
  <c r="L47" i="14"/>
  <c r="M47" i="14"/>
  <c r="L48" i="14"/>
  <c r="M48" i="14"/>
  <c r="L49" i="14"/>
  <c r="M49" i="14"/>
  <c r="L50" i="14"/>
  <c r="M50" i="14"/>
  <c r="L52" i="14"/>
  <c r="M52" i="14"/>
  <c r="M54" i="14"/>
  <c r="E58" i="14"/>
  <c r="G58" i="14"/>
  <c r="K58" i="14"/>
  <c r="L58" i="14"/>
  <c r="M58" i="14"/>
  <c r="E59" i="14"/>
  <c r="G59" i="14"/>
  <c r="K59" i="14"/>
  <c r="L59" i="14"/>
  <c r="M59" i="14"/>
  <c r="E60" i="14"/>
  <c r="G60" i="14"/>
  <c r="K60" i="14"/>
  <c r="L60" i="14"/>
  <c r="M60" i="14"/>
  <c r="E61" i="14"/>
  <c r="G61" i="14"/>
  <c r="K61" i="14"/>
  <c r="L61" i="14"/>
  <c r="M61" i="14"/>
  <c r="E62" i="14"/>
  <c r="G62" i="14"/>
  <c r="K62" i="14"/>
  <c r="L62" i="14"/>
  <c r="M62" i="14"/>
  <c r="E63" i="14"/>
  <c r="G63" i="14"/>
  <c r="K63" i="14"/>
  <c r="L63" i="14"/>
  <c r="M63" i="14"/>
  <c r="E64" i="14"/>
  <c r="G64" i="14"/>
  <c r="K64" i="14"/>
  <c r="L64" i="14"/>
  <c r="M64" i="14"/>
  <c r="E65" i="14"/>
  <c r="G65" i="14"/>
  <c r="K65" i="14"/>
  <c r="L65" i="14"/>
  <c r="M65" i="14"/>
  <c r="E66" i="14"/>
  <c r="G66" i="14"/>
  <c r="K66" i="14"/>
  <c r="L66" i="14"/>
  <c r="M66" i="14"/>
  <c r="E67" i="14"/>
  <c r="G67" i="14"/>
  <c r="K67" i="14"/>
  <c r="L67" i="14"/>
  <c r="M67" i="14"/>
  <c r="E68" i="14"/>
  <c r="G68" i="14"/>
  <c r="K68" i="14"/>
  <c r="L68" i="14"/>
  <c r="M68" i="14"/>
  <c r="E69" i="14"/>
  <c r="G69" i="14"/>
  <c r="K69" i="14"/>
  <c r="L69" i="14"/>
  <c r="M69" i="14"/>
  <c r="E70" i="14"/>
  <c r="G70" i="14"/>
  <c r="K70" i="14"/>
  <c r="L70" i="14"/>
  <c r="M70" i="14"/>
</calcChain>
</file>

<file path=xl/sharedStrings.xml><?xml version="1.0" encoding="utf-8"?>
<sst xmlns="http://schemas.openxmlformats.org/spreadsheetml/2006/main" count="331" uniqueCount="202">
  <si>
    <t>head</t>
  </si>
  <si>
    <t>Per Cow</t>
  </si>
  <si>
    <t>Lbs Per Day</t>
  </si>
  <si>
    <t xml:space="preserve">Price </t>
  </si>
  <si>
    <t>Cost</t>
  </si>
  <si>
    <t>Description</t>
  </si>
  <si>
    <t>Unit</t>
  </si>
  <si>
    <t xml:space="preserve">Days </t>
  </si>
  <si>
    <t xml:space="preserve"> Per Unit </t>
  </si>
  <si>
    <t xml:space="preserve">Per Cow </t>
  </si>
  <si>
    <t xml:space="preserve">Per Herd </t>
  </si>
  <si>
    <t>Alfalfa Hay</t>
  </si>
  <si>
    <t>tons</t>
  </si>
  <si>
    <t>Grass Hay</t>
  </si>
  <si>
    <t>Grain/Concentrates</t>
  </si>
  <si>
    <t>lbs</t>
  </si>
  <si>
    <t>Protein Supplements</t>
  </si>
  <si>
    <t>Other Livestock Feed</t>
  </si>
  <si>
    <t>Subtotal of Livestock Feed</t>
  </si>
  <si>
    <t>Fert. &amp; Chem.</t>
  </si>
  <si>
    <t>acre</t>
  </si>
  <si>
    <t>Irrigation Supplies</t>
  </si>
  <si>
    <t>M&amp;R Land and Bldgs.</t>
  </si>
  <si>
    <t>dollars</t>
  </si>
  <si>
    <t>Insur. (Bld, Mach., Lvst.)</t>
  </si>
  <si>
    <t xml:space="preserve">Per Unit </t>
  </si>
  <si>
    <t>Calf Vaccines</t>
  </si>
  <si>
    <t>each</t>
  </si>
  <si>
    <t>Breeding Vaccines</t>
  </si>
  <si>
    <t>Other Vaccines</t>
  </si>
  <si>
    <t>Pregnancy Test</t>
  </si>
  <si>
    <t>Bull Fertility Test</t>
  </si>
  <si>
    <t>Medical Supplies</t>
  </si>
  <si>
    <t>Subtotal of Livestock Medical and Breeding</t>
  </si>
  <si>
    <t>Livestock Supplies</t>
  </si>
  <si>
    <t>Feeding Supplies</t>
  </si>
  <si>
    <t>Tack</t>
  </si>
  <si>
    <t>Ear Tags</t>
  </si>
  <si>
    <t>Subtotal of Livestock Supplies</t>
  </si>
  <si>
    <t>Marketing</t>
  </si>
  <si>
    <t>Freight and Trucking</t>
  </si>
  <si>
    <t>Selling Comm/Yardage</t>
  </si>
  <si>
    <t>Brand Inspection</t>
  </si>
  <si>
    <t>Health Inspection</t>
  </si>
  <si>
    <t>Lodging/Meals Etc.</t>
  </si>
  <si>
    <t>Hedging Expense</t>
  </si>
  <si>
    <t>Subtotal of Marketing</t>
  </si>
  <si>
    <t>Machinery &amp; Equipment</t>
  </si>
  <si>
    <t>Fuel and Lubrication</t>
  </si>
  <si>
    <t>Maint. and Repairs</t>
  </si>
  <si>
    <t>Equipment Leases</t>
  </si>
  <si>
    <t>Machine Hire</t>
  </si>
  <si>
    <t>Labor</t>
  </si>
  <si>
    <t>Wages</t>
  </si>
  <si>
    <t>FICA</t>
  </si>
  <si>
    <t>Contract Labor</t>
  </si>
  <si>
    <t>Professional Fees</t>
  </si>
  <si>
    <t>Workman's Comp</t>
  </si>
  <si>
    <t>Steers</t>
  </si>
  <si>
    <t>Heifers</t>
  </si>
  <si>
    <t>Head</t>
  </si>
  <si>
    <t>Weight</t>
  </si>
  <si>
    <t>Other</t>
  </si>
  <si>
    <t>Other Interest</t>
  </si>
  <si>
    <t>Interest</t>
  </si>
  <si>
    <t xml:space="preserve">Quantity </t>
  </si>
  <si>
    <t>Rate</t>
  </si>
  <si>
    <t>Subtotal of Labor</t>
  </si>
  <si>
    <t xml:space="preserve">Subtotal of Machinery and Equipment </t>
  </si>
  <si>
    <t xml:space="preserve">Subtotal of Interest </t>
  </si>
  <si>
    <t>Subtotal of Land</t>
  </si>
  <si>
    <t>Total</t>
  </si>
  <si>
    <t>Cull Cows</t>
  </si>
  <si>
    <t>Cull Bulls</t>
  </si>
  <si>
    <t>GROSS REVENUES FROM PRODUCTION</t>
  </si>
  <si>
    <t>Animal</t>
  </si>
  <si>
    <t>Type</t>
  </si>
  <si>
    <t xml:space="preserve">Avg. Mkt </t>
  </si>
  <si>
    <t xml:space="preserve">Weight </t>
  </si>
  <si>
    <t xml:space="preserve">lbs </t>
  </si>
  <si>
    <t xml:space="preserve">Net Sale </t>
  </si>
  <si>
    <t xml:space="preserve">Value </t>
  </si>
  <si>
    <t xml:space="preserve">Per Head </t>
  </si>
  <si>
    <t xml:space="preserve">$/Hd </t>
  </si>
  <si>
    <t xml:space="preserve">Total </t>
  </si>
  <si>
    <t xml:space="preserve">$ </t>
  </si>
  <si>
    <t xml:space="preserve">$/Cwt </t>
  </si>
  <si>
    <t>Depreciation - Bldg &amp; Equip</t>
  </si>
  <si>
    <t>Depreciation - Bulls</t>
  </si>
  <si>
    <t>Depreciation - Other</t>
  </si>
  <si>
    <t>Weaning</t>
  </si>
  <si>
    <t xml:space="preserve">Percent </t>
  </si>
  <si>
    <t>PRODUCTION ASSUMPTIONS</t>
  </si>
  <si>
    <t>Cow Death Loss</t>
  </si>
  <si>
    <t>Weaned Calf Crop</t>
  </si>
  <si>
    <t>Yearling Heifers</t>
  </si>
  <si>
    <t>Exposed Females (Cows &amp; Heifers)</t>
  </si>
  <si>
    <t>Percentage Steers</t>
  </si>
  <si>
    <t>MANAGEMENT PRACTICES</t>
  </si>
  <si>
    <t>Principal</t>
  </si>
  <si>
    <t>Machinery and Equipment</t>
  </si>
  <si>
    <t>Land</t>
  </si>
  <si>
    <t>Gross Revenues</t>
  </si>
  <si>
    <t>Annual Cow Carrying Costs</t>
  </si>
  <si>
    <t>Replacement Heifers Retained</t>
  </si>
  <si>
    <t>Cows Per Bull</t>
  </si>
  <si>
    <t>Cow Replacement Rate</t>
  </si>
  <si>
    <t>Bull Replacement Rate</t>
  </si>
  <si>
    <t>PRODUCTION SUMMARY</t>
  </si>
  <si>
    <t>Pasture (owned)</t>
  </si>
  <si>
    <t>Pasture (leased)</t>
  </si>
  <si>
    <t>Pasture (public)</t>
  </si>
  <si>
    <t>LAND EXPENSES</t>
  </si>
  <si>
    <t xml:space="preserve">Price  </t>
  </si>
  <si>
    <t xml:space="preserve">Per Unit  </t>
  </si>
  <si>
    <t>LIVESTOCK MEDICAL &amp; BREEDING EXPENSES</t>
  </si>
  <si>
    <t>calves</t>
  </si>
  <si>
    <t>cows</t>
  </si>
  <si>
    <t>bulls</t>
  </si>
  <si>
    <t>LIVESTOCK SUPPLIES</t>
  </si>
  <si>
    <t>MARKETING</t>
  </si>
  <si>
    <t>miles</t>
  </si>
  <si>
    <t>LABOR</t>
  </si>
  <si>
    <t>Employee Benefits</t>
  </si>
  <si>
    <t>INTEREST</t>
  </si>
  <si>
    <t>Operating Borrowings</t>
  </si>
  <si>
    <t>Non-Real Estate</t>
  </si>
  <si>
    <t>Real Estate</t>
  </si>
  <si>
    <t>BEEF COW/CALF ENTERPRISE BUDGET</t>
  </si>
  <si>
    <t>Estimated Costs and Returns - San Luis Valley</t>
  </si>
  <si>
    <t xml:space="preserve">Per Cow  </t>
  </si>
  <si>
    <t xml:space="preserve">Total  </t>
  </si>
  <si>
    <t>DIRECT CASH OPERATING EXPENSES</t>
  </si>
  <si>
    <t>Livestock Medical and Breeding</t>
  </si>
  <si>
    <t>Total Direct Cash Operating Expenses</t>
  </si>
  <si>
    <t>NET RECEIPTS</t>
  </si>
  <si>
    <t>Net Receipts</t>
  </si>
  <si>
    <t>1. Calves born March-May and weaned and sold October/November.</t>
  </si>
  <si>
    <t>PURCHASED FEED</t>
  </si>
  <si>
    <t>PASTURE</t>
  </si>
  <si>
    <t>aums</t>
  </si>
  <si>
    <t>Term</t>
  </si>
  <si>
    <t>(years)</t>
  </si>
  <si>
    <t>Purchased Feed and Pasture</t>
  </si>
  <si>
    <t>Number of Bulls (head)</t>
  </si>
  <si>
    <t>Yearling Heifers Sold (head)</t>
  </si>
  <si>
    <t>Heifers Sold (head)</t>
  </si>
  <si>
    <t>Heifers Retained (head)</t>
  </si>
  <si>
    <t>Total Heifers (head)</t>
  </si>
  <si>
    <t>Steers (head)</t>
  </si>
  <si>
    <t>Total Calves Weaned (head)</t>
  </si>
  <si>
    <t>TOTAL ANNUAL "COW COSTS"</t>
  </si>
  <si>
    <t>Subtotal of Depreciation</t>
  </si>
  <si>
    <t>DEPRECIATION</t>
  </si>
  <si>
    <t>OVERHEAD</t>
  </si>
  <si>
    <t>Overhead Charge</t>
  </si>
  <si>
    <t>General Overhead</t>
  </si>
  <si>
    <t>Calculation: Annual Cow Costs divided by Weaning Weight times Weaning Percent.</t>
  </si>
  <si>
    <t>Misc supplies, extra/wasted vaccines, misc medicines, etc.</t>
  </si>
  <si>
    <t>Number of Bulls</t>
  </si>
  <si>
    <t>Steer Calves</t>
  </si>
  <si>
    <t>Heifer Calves</t>
  </si>
  <si>
    <t>BREAK-EVEN PRICES FOR CALVES (average price for all calves sold)</t>
  </si>
  <si>
    <t>Avg. Weaning</t>
  </si>
  <si>
    <t>La Junta Livestock</t>
  </si>
  <si>
    <t>Other (trucking)</t>
  </si>
  <si>
    <t>Trucking to permitted land</t>
  </si>
  <si>
    <t>trips</t>
  </si>
  <si>
    <t>www.ABM.extension.colostate.edu</t>
  </si>
  <si>
    <t>jtranel@colostate.edu</t>
  </si>
  <si>
    <t>No grazing on public land</t>
  </si>
  <si>
    <t>1 bull to 17 cows. Bulls are younger.</t>
  </si>
  <si>
    <t>2. Feeding  Period = 5 Months (Dec, Jan, Feb, Mar, Apr) / Grazing Period = 7 months
Going to forest on May 1st</t>
  </si>
  <si>
    <t>Go onto permit on May 1st.</t>
  </si>
  <si>
    <t>Other variables include whether there is AI.</t>
  </si>
  <si>
    <t>3% cow death loss</t>
  </si>
  <si>
    <t>Triticale/Other</t>
  </si>
  <si>
    <t>105 days of windrows - 30 days of triticale + 30 dayes of grass + 30 days of grass/alfalfa mix  @ $50/ton. Ray = $40 less for alfalfa and Tricale. Also, hauls potaotes</t>
  </si>
  <si>
    <t>Supplement = $61/cow</t>
  </si>
  <si>
    <t>RioMix = $480 per 250lb tub = $3840 per ton</t>
  </si>
  <si>
    <t xml:space="preserve">$8 for 50 lb block of salt = </t>
  </si>
  <si>
    <r>
      <t>Salt/</t>
    </r>
    <r>
      <rPr>
        <strike/>
        <sz val="11"/>
        <rFont val="Calibri"/>
        <family val="2"/>
      </rPr>
      <t>Mineral</t>
    </r>
  </si>
  <si>
    <t>alfalfa stubble</t>
  </si>
  <si>
    <t>$1.35 per aum for 4 months. Going to $1.69 in 2026</t>
  </si>
  <si>
    <t>Vista = $5.10 per dose @ 3 times</t>
  </si>
  <si>
    <t>8-way = $1.38 per dose @ 1 time (some give 2x)</t>
  </si>
  <si>
    <t>Bangs for heifers @ $12</t>
  </si>
  <si>
    <t>Pap testing  @ $175 x 2</t>
  </si>
  <si>
    <t>A.I.</t>
  </si>
  <si>
    <t>Drugs = $25 + Semem = $18 + Labor =$30</t>
  </si>
  <si>
    <t>Does not include RFID tags</t>
  </si>
  <si>
    <t>Fencing = $2,000 + $8,000 for labor</t>
  </si>
  <si>
    <t>171 hd mixed load | 129,000 lbs = 3 loads</t>
  </si>
  <si>
    <t>Beef Promotion</t>
  </si>
  <si>
    <t>Superior = 3% and not trucking costs</t>
  </si>
  <si>
    <t>Crop Insurance = RP=$98/steer+ PRF = $15/cow</t>
  </si>
  <si>
    <t>side-by-side</t>
  </si>
  <si>
    <t>Estimated Costs and Returns - San Luis Valley (with Public Lands grazing)</t>
  </si>
  <si>
    <t>Non-Cash Expenses (Depreciation on bulls)</t>
  </si>
  <si>
    <t>Crops = $340 per acre. What should it be for cows?</t>
  </si>
  <si>
    <t>* (8 bulls @ $4500) /5 years</t>
  </si>
  <si>
    <t>* ($340 x 200 cows) - depreciation on bulls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</si>
</sst>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6" formatCode="&quot;$&quot;#,##0_);[Red]\(&quot;$&quot;#,##0\)"/>
    <numFmt numFmtId="8" formatCode="&quot;$&quot;#,##0.00_);[Red]\(&quot;$&quot;#,##0.00\)"/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71" formatCode="_(* #,##0_);_(* \(#,##0\);_(* &quot;-&quot;??_);_(@_)"/>
    <numFmt numFmtId="172" formatCode="0.00_)"/>
    <numFmt numFmtId="173" formatCode="0_)"/>
    <numFmt numFmtId="191" formatCode="0_);[Red]\(0\)"/>
  </numFmts>
  <fonts count="18" x14ac:knownFonts="1">
    <font>
      <sz val="10"/>
      <name val="Arial"/>
    </font>
    <font>
      <sz val="10"/>
      <name val="Arial"/>
    </font>
    <font>
      <u/>
      <sz val="10"/>
      <color indexed="12"/>
      <name val="Arial"/>
    </font>
    <font>
      <sz val="12"/>
      <name val="Helv"/>
    </font>
    <font>
      <sz val="8"/>
      <name val="Arial"/>
    </font>
    <font>
      <strike/>
      <sz val="11"/>
      <name val="Calibri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indexed="12"/>
      <name val="Calibri"/>
      <family val="2"/>
      <scheme val="minor"/>
    </font>
    <font>
      <b/>
      <sz val="11"/>
      <color indexed="12"/>
      <name val="Calibri"/>
      <family val="2"/>
      <scheme val="minor"/>
    </font>
    <font>
      <sz val="11"/>
      <color rgb="FF0000FF"/>
      <name val="Calibri"/>
      <family val="2"/>
      <scheme val="minor"/>
    </font>
    <font>
      <sz val="14"/>
      <color rgb="FF008000"/>
      <name val="Arial Rounded MT Bold"/>
      <family val="2"/>
    </font>
    <font>
      <b/>
      <sz val="14"/>
      <name val="Calibri"/>
      <family val="2"/>
      <scheme val="minor"/>
    </font>
    <font>
      <b/>
      <sz val="14"/>
      <color rgb="FF008000"/>
      <name val="Arial Rounded MT Bold"/>
      <family val="2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i/>
      <sz val="10"/>
      <name val="Calibri"/>
      <family val="2"/>
      <scheme val="minor"/>
    </font>
    <font>
      <i/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8"/>
      </bottom>
      <diagonal/>
    </border>
    <border>
      <left/>
      <right/>
      <top/>
      <bottom style="double">
        <color indexed="8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>
      <alignment vertical="top"/>
      <protection locked="0"/>
    </xf>
    <xf numFmtId="0" fontId="3" fillId="0" borderId="0"/>
    <xf numFmtId="9" fontId="1" fillId="0" borderId="0" applyFont="0" applyFill="0" applyBorder="0" applyAlignment="0" applyProtection="0"/>
  </cellStyleXfs>
  <cellXfs count="284">
    <xf numFmtId="0" fontId="0" fillId="0" borderId="0" xfId="0"/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 applyProtection="1">
      <alignment horizontal="left" vertical="center"/>
    </xf>
    <xf numFmtId="0" fontId="6" fillId="0" borderId="1" xfId="0" applyFont="1" applyBorder="1" applyAlignment="1">
      <alignment vertical="center"/>
    </xf>
    <xf numFmtId="0" fontId="7" fillId="0" borderId="2" xfId="0" applyFont="1" applyBorder="1" applyAlignment="1" applyProtection="1">
      <alignment horizontal="left" vertical="center"/>
    </xf>
    <xf numFmtId="0" fontId="7" fillId="0" borderId="3" xfId="0" applyFont="1" applyBorder="1" applyAlignment="1" applyProtection="1">
      <alignment horizontal="left" vertical="center"/>
    </xf>
    <xf numFmtId="0" fontId="6" fillId="0" borderId="4" xfId="0" applyFont="1" applyBorder="1" applyAlignment="1">
      <alignment horizontal="center" vertical="center"/>
    </xf>
    <xf numFmtId="0" fontId="6" fillId="0" borderId="0" xfId="0" applyFont="1" applyBorder="1" applyAlignment="1">
      <alignment horizontal="left"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8" fillId="2" borderId="5" xfId="0" applyFont="1" applyFill="1" applyBorder="1" applyAlignment="1" applyProtection="1">
      <alignment horizontal="center" vertical="center"/>
      <protection locked="0"/>
    </xf>
    <xf numFmtId="0" fontId="9" fillId="0" borderId="6" xfId="0" applyFont="1" applyFill="1" applyBorder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7" fillId="0" borderId="0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9" fontId="8" fillId="2" borderId="5" xfId="5" applyFont="1" applyFill="1" applyBorder="1" applyAlignment="1" applyProtection="1">
      <alignment horizontal="center" vertical="center"/>
      <protection locked="0"/>
    </xf>
    <xf numFmtId="9" fontId="9" fillId="0" borderId="6" xfId="5" applyFont="1" applyFill="1" applyBorder="1" applyAlignment="1">
      <alignment horizontal="center" vertical="center"/>
    </xf>
    <xf numFmtId="9" fontId="9" fillId="0" borderId="0" xfId="5" applyFont="1" applyFill="1" applyAlignment="1">
      <alignment horizontal="center" vertical="center"/>
    </xf>
    <xf numFmtId="0" fontId="6" fillId="0" borderId="0" xfId="0" applyFont="1" applyBorder="1" applyAlignment="1" applyProtection="1">
      <alignment vertical="center"/>
    </xf>
    <xf numFmtId="0" fontId="8" fillId="0" borderId="4" xfId="0" applyFont="1" applyBorder="1" applyAlignment="1" applyProtection="1">
      <alignment horizontal="left" vertical="center"/>
      <protection locked="0"/>
    </xf>
    <xf numFmtId="0" fontId="6" fillId="0" borderId="0" xfId="0" applyFont="1" applyBorder="1" applyAlignment="1" applyProtection="1">
      <alignment vertical="center"/>
      <protection locked="0"/>
    </xf>
    <xf numFmtId="0" fontId="8" fillId="0" borderId="0" xfId="0" applyFont="1" applyBorder="1" applyAlignment="1" applyProtection="1">
      <alignment vertical="center"/>
      <protection locked="0"/>
    </xf>
    <xf numFmtId="0" fontId="6" fillId="0" borderId="0" xfId="0" applyFont="1" applyBorder="1" applyAlignment="1" applyProtection="1">
      <alignment horizontal="left" vertical="center"/>
      <protection locked="0"/>
    </xf>
    <xf numFmtId="0" fontId="8" fillId="0" borderId="6" xfId="0" applyFont="1" applyFill="1" applyBorder="1" applyAlignment="1" applyProtection="1">
      <alignment vertical="center"/>
      <protection locked="0"/>
    </xf>
    <xf numFmtId="0" fontId="8" fillId="0" borderId="0" xfId="0" applyFont="1" applyFill="1" applyAlignment="1" applyProtection="1">
      <alignment vertical="center"/>
      <protection locked="0"/>
    </xf>
    <xf numFmtId="0" fontId="6" fillId="0" borderId="7" xfId="0" applyFont="1" applyBorder="1" applyAlignment="1">
      <alignment vertical="center"/>
    </xf>
    <xf numFmtId="0" fontId="6" fillId="0" borderId="8" xfId="0" applyFont="1" applyBorder="1" applyAlignment="1">
      <alignment vertical="center"/>
    </xf>
    <xf numFmtId="0" fontId="6" fillId="0" borderId="9" xfId="0" applyFont="1" applyBorder="1" applyAlignment="1">
      <alignment vertical="center"/>
    </xf>
    <xf numFmtId="0" fontId="8" fillId="0" borderId="0" xfId="0" applyFont="1" applyAlignment="1" applyProtection="1">
      <alignment vertical="center"/>
      <protection locked="0"/>
    </xf>
    <xf numFmtId="0" fontId="8" fillId="0" borderId="0" xfId="0" applyFont="1" applyAlignment="1" applyProtection="1">
      <alignment horizontal="left" vertical="center"/>
      <protection locked="0"/>
    </xf>
    <xf numFmtId="0" fontId="7" fillId="0" borderId="0" xfId="0" applyFont="1" applyAlignment="1">
      <alignment vertical="center"/>
    </xf>
    <xf numFmtId="0" fontId="6" fillId="0" borderId="2" xfId="0" applyFont="1" applyBorder="1" applyAlignment="1">
      <alignment vertical="center"/>
    </xf>
    <xf numFmtId="0" fontId="6" fillId="0" borderId="2" xfId="0" applyFont="1" applyBorder="1" applyAlignment="1">
      <alignment horizontal="right" vertical="center"/>
    </xf>
    <xf numFmtId="0" fontId="6" fillId="0" borderId="3" xfId="0" applyFont="1" applyBorder="1" applyAlignment="1">
      <alignment horizontal="center" vertical="center"/>
    </xf>
    <xf numFmtId="0" fontId="6" fillId="0" borderId="0" xfId="0" applyFont="1" applyBorder="1" applyAlignment="1">
      <alignment horizontal="right" vertical="center"/>
    </xf>
    <xf numFmtId="0" fontId="6" fillId="0" borderId="6" xfId="0" applyFont="1" applyBorder="1" applyAlignment="1">
      <alignment horizontal="right" vertical="center"/>
    </xf>
    <xf numFmtId="0" fontId="6" fillId="0" borderId="8" xfId="0" applyFont="1" applyBorder="1" applyAlignment="1">
      <alignment horizontal="center" vertical="center"/>
    </xf>
    <xf numFmtId="0" fontId="6" fillId="0" borderId="8" xfId="0" applyFont="1" applyBorder="1" applyAlignment="1">
      <alignment horizontal="right" vertical="center"/>
    </xf>
    <xf numFmtId="0" fontId="6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vertical="center"/>
    </xf>
    <xf numFmtId="43" fontId="9" fillId="0" borderId="0" xfId="1" applyNumberFormat="1" applyFont="1" applyFill="1" applyBorder="1" applyAlignment="1">
      <alignment vertical="center"/>
    </xf>
    <xf numFmtId="43" fontId="6" fillId="0" borderId="0" xfId="0" applyNumberFormat="1" applyFont="1" applyBorder="1" applyAlignment="1">
      <alignment vertical="center"/>
    </xf>
    <xf numFmtId="43" fontId="6" fillId="0" borderId="6" xfId="0" applyNumberFormat="1" applyFont="1" applyBorder="1" applyAlignment="1">
      <alignment vertical="center"/>
    </xf>
    <xf numFmtId="0" fontId="6" fillId="0" borderId="10" xfId="0" applyFont="1" applyBorder="1" applyAlignment="1">
      <alignment vertical="center"/>
    </xf>
    <xf numFmtId="0" fontId="6" fillId="0" borderId="10" xfId="0" applyFont="1" applyFill="1" applyBorder="1" applyAlignment="1">
      <alignment horizontal="center" vertical="center"/>
    </xf>
    <xf numFmtId="0" fontId="8" fillId="0" borderId="10" xfId="0" applyFont="1" applyFill="1" applyBorder="1" applyAlignment="1">
      <alignment vertical="center"/>
    </xf>
    <xf numFmtId="43" fontId="9" fillId="0" borderId="10" xfId="1" applyNumberFormat="1" applyFont="1" applyFill="1" applyBorder="1" applyAlignment="1">
      <alignment vertical="center"/>
    </xf>
    <xf numFmtId="0" fontId="6" fillId="0" borderId="8" xfId="0" applyFont="1" applyFill="1" applyBorder="1" applyAlignment="1">
      <alignment vertical="center"/>
    </xf>
    <xf numFmtId="44" fontId="6" fillId="0" borderId="9" xfId="2" applyFont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/>
    </xf>
    <xf numFmtId="0" fontId="7" fillId="0" borderId="6" xfId="0" applyFont="1" applyBorder="1" applyAlignment="1">
      <alignment vertical="center"/>
    </xf>
    <xf numFmtId="9" fontId="9" fillId="0" borderId="4" xfId="5" applyFont="1" applyFill="1" applyBorder="1" applyAlignment="1">
      <alignment horizontal="center" vertical="center"/>
    </xf>
    <xf numFmtId="0" fontId="6" fillId="0" borderId="6" xfId="0" applyFont="1" applyBorder="1" applyAlignment="1">
      <alignment vertical="center"/>
    </xf>
    <xf numFmtId="0" fontId="8" fillId="0" borderId="4" xfId="0" applyFont="1" applyFill="1" applyBorder="1" applyAlignment="1" applyProtection="1">
      <alignment vertical="center"/>
      <protection locked="0"/>
    </xf>
    <xf numFmtId="0" fontId="9" fillId="0" borderId="7" xfId="0" applyFont="1" applyFill="1" applyBorder="1" applyAlignment="1">
      <alignment horizontal="center" vertical="center"/>
    </xf>
    <xf numFmtId="0" fontId="8" fillId="0" borderId="8" xfId="0" applyFont="1" applyBorder="1" applyAlignment="1" applyProtection="1">
      <alignment vertical="center"/>
      <protection locked="0"/>
    </xf>
    <xf numFmtId="0" fontId="9" fillId="0" borderId="0" xfId="0" applyFont="1" applyFill="1" applyBorder="1" applyAlignment="1">
      <alignment horizontal="center" vertical="center"/>
    </xf>
    <xf numFmtId="0" fontId="7" fillId="0" borderId="2" xfId="0" applyFont="1" applyBorder="1" applyAlignment="1" applyProtection="1">
      <alignment horizontal="left" vertical="center"/>
      <protection locked="0"/>
    </xf>
    <xf numFmtId="0" fontId="6" fillId="0" borderId="3" xfId="0" applyFont="1" applyBorder="1" applyAlignment="1">
      <alignment vertical="center"/>
    </xf>
    <xf numFmtId="0" fontId="8" fillId="0" borderId="4" xfId="0" applyFont="1" applyFill="1" applyBorder="1" applyAlignment="1" applyProtection="1">
      <alignment horizontal="left" vertical="center"/>
      <protection locked="0"/>
    </xf>
    <xf numFmtId="0" fontId="6" fillId="0" borderId="6" xfId="0" applyFont="1" applyFill="1" applyBorder="1" applyAlignment="1">
      <alignment vertical="center"/>
    </xf>
    <xf numFmtId="0" fontId="8" fillId="0" borderId="7" xfId="0" applyFont="1" applyFill="1" applyBorder="1" applyAlignment="1" applyProtection="1">
      <alignment horizontal="left" vertical="center"/>
      <protection locked="0"/>
    </xf>
    <xf numFmtId="0" fontId="8" fillId="0" borderId="8" xfId="0" applyFont="1" applyFill="1" applyBorder="1" applyAlignment="1" applyProtection="1">
      <alignment horizontal="left" vertical="center"/>
      <protection locked="0"/>
    </xf>
    <xf numFmtId="0" fontId="6" fillId="0" borderId="9" xfId="0" applyFont="1" applyFill="1" applyBorder="1" applyAlignment="1">
      <alignment vertical="center"/>
    </xf>
    <xf numFmtId="0" fontId="6" fillId="0" borderId="10" xfId="0" applyFont="1" applyFill="1" applyBorder="1" applyAlignment="1">
      <alignment vertical="center"/>
    </xf>
    <xf numFmtId="171" fontId="8" fillId="0" borderId="10" xfId="1" applyNumberFormat="1" applyFont="1" applyFill="1" applyBorder="1" applyAlignment="1" applyProtection="1">
      <alignment vertical="center"/>
      <protection locked="0"/>
    </xf>
    <xf numFmtId="43" fontId="8" fillId="0" borderId="10" xfId="1" applyNumberFormat="1" applyFont="1" applyFill="1" applyBorder="1" applyAlignment="1" applyProtection="1">
      <alignment vertical="center"/>
      <protection locked="0"/>
    </xf>
    <xf numFmtId="43" fontId="6" fillId="0" borderId="10" xfId="0" applyNumberFormat="1" applyFont="1" applyFill="1" applyBorder="1" applyAlignment="1">
      <alignment vertical="center"/>
    </xf>
    <xf numFmtId="171" fontId="8" fillId="2" borderId="5" xfId="1" applyNumberFormat="1" applyFont="1" applyFill="1" applyBorder="1" applyAlignment="1" applyProtection="1">
      <alignment vertical="center"/>
      <protection locked="0"/>
    </xf>
    <xf numFmtId="43" fontId="8" fillId="2" borderId="5" xfId="1" applyNumberFormat="1" applyFont="1" applyFill="1" applyBorder="1" applyAlignment="1" applyProtection="1">
      <alignment vertical="center"/>
      <protection locked="0"/>
    </xf>
    <xf numFmtId="171" fontId="6" fillId="0" borderId="0" xfId="0" applyNumberFormat="1" applyFont="1" applyBorder="1" applyAlignment="1">
      <alignment vertical="center"/>
    </xf>
    <xf numFmtId="171" fontId="10" fillId="2" borderId="5" xfId="1" applyNumberFormat="1" applyFont="1" applyFill="1" applyBorder="1" applyAlignment="1" applyProtection="1">
      <alignment vertical="center"/>
      <protection locked="0"/>
    </xf>
    <xf numFmtId="171" fontId="6" fillId="0" borderId="10" xfId="0" applyNumberFormat="1" applyFont="1" applyFill="1" applyBorder="1" applyAlignment="1">
      <alignment vertical="center"/>
    </xf>
    <xf numFmtId="0" fontId="6" fillId="0" borderId="2" xfId="4" applyFont="1" applyBorder="1" applyAlignment="1" applyProtection="1">
      <alignment horizontal="right" vertical="center"/>
    </xf>
    <xf numFmtId="0" fontId="6" fillId="0" borderId="11" xfId="4" applyFont="1" applyBorder="1" applyAlignment="1" applyProtection="1">
      <alignment horizontal="left" vertical="center"/>
    </xf>
    <xf numFmtId="0" fontId="6" fillId="0" borderId="11" xfId="4" applyFont="1" applyBorder="1" applyAlignment="1" applyProtection="1">
      <alignment horizontal="right" vertical="center"/>
    </xf>
    <xf numFmtId="0" fontId="6" fillId="0" borderId="0" xfId="4" applyFont="1" applyBorder="1" applyAlignment="1" applyProtection="1">
      <alignment horizontal="left" vertical="center"/>
    </xf>
    <xf numFmtId="0" fontId="6" fillId="0" borderId="12" xfId="4" applyFont="1" applyBorder="1" applyAlignment="1" applyProtection="1">
      <alignment horizontal="left" vertical="center"/>
    </xf>
    <xf numFmtId="0" fontId="6" fillId="0" borderId="8" xfId="4" applyFont="1" applyBorder="1" applyAlignment="1" applyProtection="1">
      <alignment horizontal="left" vertical="center"/>
    </xf>
    <xf numFmtId="0" fontId="6" fillId="0" borderId="8" xfId="4" applyFont="1" applyBorder="1" applyAlignment="1" applyProtection="1">
      <alignment horizontal="center" vertical="center"/>
    </xf>
    <xf numFmtId="0" fontId="6" fillId="0" borderId="11" xfId="4" applyFont="1" applyBorder="1" applyAlignment="1" applyProtection="1">
      <alignment horizontal="center" vertical="center"/>
    </xf>
    <xf numFmtId="38" fontId="6" fillId="0" borderId="0" xfId="4" applyNumberFormat="1" applyFont="1" applyBorder="1" applyAlignment="1" applyProtection="1">
      <alignment vertical="center"/>
    </xf>
    <xf numFmtId="40" fontId="6" fillId="0" borderId="0" xfId="1" applyNumberFormat="1" applyFont="1" applyFill="1" applyBorder="1" applyAlignment="1" applyProtection="1">
      <alignment vertical="center"/>
    </xf>
    <xf numFmtId="40" fontId="6" fillId="0" borderId="12" xfId="1" applyNumberFormat="1" applyFont="1" applyFill="1" applyBorder="1" applyAlignment="1" applyProtection="1">
      <alignment vertical="center"/>
    </xf>
    <xf numFmtId="44" fontId="6" fillId="0" borderId="8" xfId="2" applyNumberFormat="1" applyFont="1" applyBorder="1" applyAlignment="1" applyProtection="1">
      <alignment vertical="center"/>
    </xf>
    <xf numFmtId="42" fontId="6" fillId="0" borderId="8" xfId="2" applyNumberFormat="1" applyFont="1" applyBorder="1" applyAlignment="1" applyProtection="1">
      <alignment vertical="center"/>
    </xf>
    <xf numFmtId="0" fontId="6" fillId="0" borderId="2" xfId="4" applyFont="1" applyBorder="1" applyAlignment="1" applyProtection="1">
      <alignment vertical="center"/>
    </xf>
    <xf numFmtId="0" fontId="6" fillId="0" borderId="3" xfId="4" applyFont="1" applyBorder="1" applyAlignment="1" applyProtection="1">
      <alignment vertical="center"/>
    </xf>
    <xf numFmtId="38" fontId="6" fillId="0" borderId="12" xfId="4" applyNumberFormat="1" applyFont="1" applyBorder="1" applyAlignment="1" applyProtection="1">
      <alignment vertical="center"/>
    </xf>
    <xf numFmtId="0" fontId="6" fillId="0" borderId="8" xfId="4" applyFont="1" applyBorder="1" applyAlignment="1" applyProtection="1">
      <alignment vertical="center"/>
    </xf>
    <xf numFmtId="44" fontId="6" fillId="0" borderId="8" xfId="4" applyNumberFormat="1" applyFont="1" applyBorder="1" applyAlignment="1" applyProtection="1">
      <alignment vertical="center"/>
    </xf>
    <xf numFmtId="42" fontId="6" fillId="0" borderId="8" xfId="4" applyNumberFormat="1" applyFont="1" applyBorder="1" applyAlignment="1" applyProtection="1">
      <alignment vertical="center"/>
    </xf>
    <xf numFmtId="0" fontId="6" fillId="0" borderId="2" xfId="4" applyFont="1" applyBorder="1" applyAlignment="1" applyProtection="1">
      <alignment horizontal="center" vertical="center"/>
    </xf>
    <xf numFmtId="40" fontId="6" fillId="0" borderId="0" xfId="4" applyNumberFormat="1" applyFont="1" applyFill="1" applyBorder="1" applyAlignment="1" applyProtection="1">
      <alignment vertical="center"/>
    </xf>
    <xf numFmtId="40" fontId="6" fillId="0" borderId="10" xfId="4" applyNumberFormat="1" applyFont="1" applyFill="1" applyBorder="1" applyAlignment="1" applyProtection="1">
      <alignment vertical="center"/>
    </xf>
    <xf numFmtId="37" fontId="6" fillId="0" borderId="0" xfId="4" applyNumberFormat="1" applyFont="1" applyBorder="1" applyAlignment="1" applyProtection="1">
      <alignment vertical="center"/>
    </xf>
    <xf numFmtId="172" fontId="6" fillId="0" borderId="12" xfId="4" applyNumberFormat="1" applyFont="1" applyFill="1" applyBorder="1" applyAlignment="1" applyProtection="1">
      <alignment vertical="center"/>
    </xf>
    <xf numFmtId="37" fontId="6" fillId="0" borderId="12" xfId="4" applyNumberFormat="1" applyFont="1" applyBorder="1" applyAlignment="1" applyProtection="1">
      <alignment vertical="center"/>
    </xf>
    <xf numFmtId="0" fontId="6" fillId="0" borderId="1" xfId="4" applyFont="1" applyBorder="1" applyAlignment="1" applyProtection="1">
      <alignment vertical="center"/>
    </xf>
    <xf numFmtId="0" fontId="6" fillId="0" borderId="4" xfId="4" applyFont="1" applyBorder="1" applyAlignment="1" applyProtection="1">
      <alignment vertical="center"/>
    </xf>
    <xf numFmtId="0" fontId="6" fillId="0" borderId="13" xfId="4" applyFont="1" applyBorder="1" applyAlignment="1" applyProtection="1">
      <alignment vertical="center"/>
    </xf>
    <xf numFmtId="0" fontId="6" fillId="0" borderId="13" xfId="4" applyFont="1" applyBorder="1" applyAlignment="1" applyProtection="1">
      <alignment horizontal="right" vertical="center"/>
    </xf>
    <xf numFmtId="0" fontId="6" fillId="0" borderId="6" xfId="4" applyFont="1" applyBorder="1" applyAlignment="1" applyProtection="1">
      <alignment vertical="center"/>
    </xf>
    <xf numFmtId="171" fontId="6" fillId="0" borderId="0" xfId="1" applyNumberFormat="1" applyFont="1" applyFill="1" applyBorder="1" applyAlignment="1" applyProtection="1">
      <alignment vertical="center"/>
    </xf>
    <xf numFmtId="0" fontId="6" fillId="0" borderId="0" xfId="4" applyFont="1" applyBorder="1" applyAlignment="1" applyProtection="1">
      <alignment vertical="center"/>
    </xf>
    <xf numFmtId="0" fontId="6" fillId="0" borderId="10" xfId="4" applyFont="1" applyBorder="1" applyAlignment="1" applyProtection="1">
      <alignment vertical="center"/>
    </xf>
    <xf numFmtId="40" fontId="6" fillId="0" borderId="10" xfId="1" applyNumberFormat="1" applyFont="1" applyBorder="1" applyAlignment="1" applyProtection="1">
      <alignment vertical="center"/>
    </xf>
    <xf numFmtId="0" fontId="6" fillId="0" borderId="7" xfId="4" applyFont="1" applyBorder="1" applyAlignment="1" applyProtection="1">
      <alignment vertical="center"/>
    </xf>
    <xf numFmtId="0" fontId="6" fillId="0" borderId="9" xfId="4" applyFont="1" applyBorder="1" applyAlignment="1" applyProtection="1">
      <alignment vertical="center"/>
    </xf>
    <xf numFmtId="0" fontId="6" fillId="0" borderId="0" xfId="4" applyFont="1" applyBorder="1" applyAlignment="1" applyProtection="1">
      <alignment horizontal="right" vertical="center"/>
    </xf>
    <xf numFmtId="40" fontId="8" fillId="2" borderId="5" xfId="1" applyNumberFormat="1" applyFont="1" applyFill="1" applyBorder="1" applyAlignment="1" applyProtection="1">
      <alignment horizontal="right" vertical="center"/>
      <protection locked="0"/>
    </xf>
    <xf numFmtId="38" fontId="8" fillId="2" borderId="5" xfId="4" applyNumberFormat="1" applyFont="1" applyFill="1" applyBorder="1" applyAlignment="1" applyProtection="1">
      <alignment horizontal="right" vertical="center"/>
      <protection locked="0"/>
    </xf>
    <xf numFmtId="0" fontId="6" fillId="0" borderId="12" xfId="4" applyFont="1" applyFill="1" applyBorder="1" applyAlignment="1" applyProtection="1">
      <alignment horizontal="left" vertical="center"/>
    </xf>
    <xf numFmtId="0" fontId="6" fillId="0" borderId="0" xfId="4" applyFont="1" applyBorder="1" applyAlignment="1" applyProtection="1">
      <alignment horizontal="center" vertical="center"/>
    </xf>
    <xf numFmtId="40" fontId="10" fillId="2" borderId="5" xfId="1" applyNumberFormat="1" applyFont="1" applyFill="1" applyBorder="1" applyAlignment="1" applyProtection="1">
      <alignment vertical="center"/>
      <protection locked="0"/>
    </xf>
    <xf numFmtId="38" fontId="8" fillId="2" borderId="5" xfId="1" applyNumberFormat="1" applyFont="1" applyFill="1" applyBorder="1" applyAlignment="1" applyProtection="1">
      <alignment vertical="center"/>
      <protection locked="0"/>
    </xf>
    <xf numFmtId="38" fontId="8" fillId="2" borderId="5" xfId="4" applyNumberFormat="1" applyFont="1" applyFill="1" applyBorder="1" applyAlignment="1" applyProtection="1">
      <alignment vertical="center"/>
      <protection locked="0"/>
    </xf>
    <xf numFmtId="38" fontId="6" fillId="0" borderId="12" xfId="4" applyNumberFormat="1" applyFont="1" applyFill="1" applyBorder="1" applyAlignment="1" applyProtection="1">
      <alignment vertical="center"/>
    </xf>
    <xf numFmtId="40" fontId="8" fillId="2" borderId="5" xfId="4" applyNumberFormat="1" applyFont="1" applyFill="1" applyBorder="1" applyAlignment="1" applyProtection="1">
      <alignment vertical="center"/>
      <protection locked="0"/>
    </xf>
    <xf numFmtId="10" fontId="8" fillId="2" borderId="5" xfId="5" applyNumberFormat="1" applyFont="1" applyFill="1" applyBorder="1" applyAlignment="1" applyProtection="1">
      <alignment vertical="center"/>
      <protection locked="0"/>
    </xf>
    <xf numFmtId="37" fontId="6" fillId="0" borderId="12" xfId="4" applyNumberFormat="1" applyFont="1" applyFill="1" applyBorder="1" applyAlignment="1" applyProtection="1">
      <alignment vertical="center"/>
    </xf>
    <xf numFmtId="40" fontId="6" fillId="0" borderId="0" xfId="1" applyNumberFormat="1" applyFont="1" applyBorder="1" applyAlignment="1" applyProtection="1">
      <alignment vertical="center"/>
    </xf>
    <xf numFmtId="172" fontId="8" fillId="2" borderId="5" xfId="4" applyNumberFormat="1" applyFont="1" applyFill="1" applyBorder="1" applyAlignment="1" applyProtection="1">
      <alignment horizontal="center" vertical="center"/>
      <protection locked="0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38" fontId="6" fillId="0" borderId="0" xfId="0" applyNumberFormat="1" applyFont="1" applyBorder="1" applyAlignment="1">
      <alignment vertical="center"/>
    </xf>
    <xf numFmtId="40" fontId="6" fillId="0" borderId="0" xfId="0" applyNumberFormat="1" applyFont="1" applyBorder="1" applyAlignment="1">
      <alignment vertical="center"/>
    </xf>
    <xf numFmtId="0" fontId="13" fillId="0" borderId="0" xfId="0" applyFont="1" applyAlignment="1">
      <alignment vertical="center"/>
    </xf>
    <xf numFmtId="0" fontId="6" fillId="0" borderId="14" xfId="0" applyFont="1" applyBorder="1" applyAlignment="1">
      <alignment vertical="center"/>
    </xf>
    <xf numFmtId="0" fontId="6" fillId="0" borderId="14" xfId="0" applyFont="1" applyBorder="1" applyAlignment="1">
      <alignment horizontal="right" vertical="center"/>
    </xf>
    <xf numFmtId="0" fontId="7" fillId="0" borderId="8" xfId="0" applyFont="1" applyBorder="1" applyAlignment="1">
      <alignment vertical="center"/>
    </xf>
    <xf numFmtId="6" fontId="7" fillId="0" borderId="8" xfId="0" applyNumberFormat="1" applyFont="1" applyBorder="1" applyAlignment="1">
      <alignment vertical="center"/>
    </xf>
    <xf numFmtId="8" fontId="7" fillId="0" borderId="8" xfId="0" applyNumberFormat="1" applyFont="1" applyBorder="1" applyAlignment="1">
      <alignment vertical="center"/>
    </xf>
    <xf numFmtId="8" fontId="6" fillId="0" borderId="8" xfId="2" applyNumberFormat="1" applyFont="1" applyBorder="1" applyAlignment="1">
      <alignment vertical="center"/>
    </xf>
    <xf numFmtId="6" fontId="6" fillId="0" borderId="8" xfId="2" applyNumberFormat="1" applyFont="1" applyBorder="1" applyAlignment="1">
      <alignment vertical="center"/>
    </xf>
    <xf numFmtId="0" fontId="7" fillId="0" borderId="0" xfId="4" applyFont="1" applyAlignment="1" applyProtection="1">
      <alignment vertical="center" textRotation="90"/>
    </xf>
    <xf numFmtId="0" fontId="6" fillId="0" borderId="0" xfId="4" applyFont="1" applyAlignment="1" applyProtection="1">
      <alignment vertical="center"/>
    </xf>
    <xf numFmtId="0" fontId="7" fillId="0" borderId="0" xfId="4" applyFont="1" applyAlignment="1" applyProtection="1">
      <alignment vertical="center"/>
    </xf>
    <xf numFmtId="0" fontId="6" fillId="0" borderId="0" xfId="4" applyFont="1" applyAlignment="1" applyProtection="1">
      <alignment horizontal="right" vertical="center"/>
    </xf>
    <xf numFmtId="0" fontId="9" fillId="0" borderId="0" xfId="4" applyFont="1" applyAlignment="1" applyProtection="1">
      <alignment horizontal="center" vertical="center"/>
    </xf>
    <xf numFmtId="0" fontId="6" fillId="0" borderId="0" xfId="4" applyFont="1" applyAlignment="1" applyProtection="1">
      <alignment horizontal="left" vertical="center"/>
    </xf>
    <xf numFmtId="0" fontId="7" fillId="0" borderId="6" xfId="4" applyFont="1" applyBorder="1" applyAlignment="1" applyProtection="1">
      <alignment vertical="center" textRotation="90"/>
    </xf>
    <xf numFmtId="0" fontId="6" fillId="0" borderId="13" xfId="4" applyFont="1" applyBorder="1" applyAlignment="1" applyProtection="1">
      <alignment horizontal="center" vertical="center"/>
    </xf>
    <xf numFmtId="171" fontId="6" fillId="0" borderId="13" xfId="1" applyNumberFormat="1" applyFont="1" applyBorder="1" applyAlignment="1" applyProtection="1">
      <alignment horizontal="right" vertical="center"/>
    </xf>
    <xf numFmtId="171" fontId="6" fillId="0" borderId="0" xfId="1" applyNumberFormat="1" applyFont="1" applyBorder="1" applyAlignment="1" applyProtection="1">
      <alignment horizontal="right" vertical="center"/>
    </xf>
    <xf numFmtId="38" fontId="6" fillId="0" borderId="0" xfId="1" applyNumberFormat="1" applyFont="1" applyBorder="1" applyAlignment="1" applyProtection="1">
      <alignment vertical="center"/>
    </xf>
    <xf numFmtId="40" fontId="8" fillId="0" borderId="0" xfId="1" applyNumberFormat="1" applyFont="1" applyFill="1" applyBorder="1" applyAlignment="1" applyProtection="1">
      <alignment horizontal="right" vertical="center"/>
    </xf>
    <xf numFmtId="38" fontId="8" fillId="0" borderId="0" xfId="4" applyNumberFormat="1" applyFont="1" applyFill="1" applyBorder="1" applyAlignment="1" applyProtection="1">
      <alignment horizontal="right" vertical="center"/>
    </xf>
    <xf numFmtId="0" fontId="6" fillId="0" borderId="10" xfId="4" applyFont="1" applyFill="1" applyBorder="1" applyAlignment="1" applyProtection="1">
      <alignment horizontal="center" vertical="center"/>
    </xf>
    <xf numFmtId="40" fontId="8" fillId="0" borderId="10" xfId="1" applyNumberFormat="1" applyFont="1" applyFill="1" applyBorder="1" applyAlignment="1" applyProtection="1">
      <alignment horizontal="right" vertical="center"/>
    </xf>
    <xf numFmtId="38" fontId="8" fillId="0" borderId="10" xfId="4" applyNumberFormat="1" applyFont="1" applyFill="1" applyBorder="1" applyAlignment="1" applyProtection="1">
      <alignment horizontal="right" vertical="center"/>
    </xf>
    <xf numFmtId="40" fontId="6" fillId="0" borderId="10" xfId="1" applyNumberFormat="1" applyFont="1" applyFill="1" applyBorder="1" applyAlignment="1" applyProtection="1">
      <alignment vertical="center"/>
    </xf>
    <xf numFmtId="38" fontId="6" fillId="0" borderId="10" xfId="1" applyNumberFormat="1" applyFont="1" applyFill="1" applyBorder="1" applyAlignment="1" applyProtection="1">
      <alignment vertical="center"/>
    </xf>
    <xf numFmtId="40" fontId="6" fillId="0" borderId="8" xfId="4" applyNumberFormat="1" applyFont="1" applyBorder="1" applyAlignment="1" applyProtection="1">
      <alignment horizontal="right" vertical="center"/>
    </xf>
    <xf numFmtId="44" fontId="6" fillId="0" borderId="8" xfId="2" applyFont="1" applyBorder="1" applyAlignment="1" applyProtection="1">
      <alignment horizontal="center" vertical="center"/>
    </xf>
    <xf numFmtId="42" fontId="6" fillId="0" borderId="8" xfId="2" applyNumberFormat="1" applyFont="1" applyBorder="1" applyAlignment="1" applyProtection="1">
      <alignment horizontal="center" vertical="center"/>
    </xf>
    <xf numFmtId="0" fontId="6" fillId="0" borderId="0" xfId="4" applyFont="1" applyAlignment="1" applyProtection="1">
      <alignment horizontal="center" vertical="center"/>
    </xf>
    <xf numFmtId="0" fontId="6" fillId="0" borderId="12" xfId="4" applyFont="1" applyFill="1" applyBorder="1" applyAlignment="1" applyProtection="1">
      <alignment horizontal="center" vertical="center"/>
    </xf>
    <xf numFmtId="38" fontId="8" fillId="0" borderId="12" xfId="1" applyNumberFormat="1" applyFont="1" applyFill="1" applyBorder="1" applyAlignment="1" applyProtection="1">
      <alignment vertical="center"/>
    </xf>
    <xf numFmtId="38" fontId="6" fillId="0" borderId="0" xfId="4" applyNumberFormat="1" applyFont="1" applyFill="1" applyBorder="1" applyAlignment="1" applyProtection="1">
      <alignment vertical="center"/>
    </xf>
    <xf numFmtId="40" fontId="6" fillId="0" borderId="0" xfId="4" applyNumberFormat="1" applyFont="1" applyBorder="1" applyAlignment="1" applyProtection="1">
      <alignment vertical="center"/>
    </xf>
    <xf numFmtId="38" fontId="6" fillId="0" borderId="0" xfId="1" applyNumberFormat="1" applyFont="1" applyFill="1" applyBorder="1" applyAlignment="1" applyProtection="1">
      <alignment vertical="center"/>
    </xf>
    <xf numFmtId="0" fontId="8" fillId="0" borderId="12" xfId="4" applyFont="1" applyFill="1" applyBorder="1" applyAlignment="1" applyProtection="1">
      <alignment horizontal="center" vertical="center"/>
    </xf>
    <xf numFmtId="38" fontId="8" fillId="0" borderId="12" xfId="4" applyNumberFormat="1" applyFont="1" applyFill="1" applyBorder="1" applyAlignment="1" applyProtection="1">
      <alignment vertical="center"/>
    </xf>
    <xf numFmtId="40" fontId="8" fillId="0" borderId="12" xfId="4" applyNumberFormat="1" applyFont="1" applyFill="1" applyBorder="1" applyAlignment="1" applyProtection="1">
      <alignment vertical="center"/>
    </xf>
    <xf numFmtId="0" fontId="6" fillId="0" borderId="0" xfId="4" applyFont="1" applyFill="1" applyBorder="1" applyAlignment="1" applyProtection="1">
      <alignment horizontal="center" vertical="center"/>
    </xf>
    <xf numFmtId="40" fontId="8" fillId="0" borderId="0" xfId="4" applyNumberFormat="1" applyFont="1" applyFill="1" applyBorder="1" applyAlignment="1" applyProtection="1">
      <alignment vertical="center"/>
    </xf>
    <xf numFmtId="38" fontId="8" fillId="0" borderId="0" xfId="4" applyNumberFormat="1" applyFont="1" applyFill="1" applyBorder="1" applyAlignment="1" applyProtection="1">
      <alignment vertical="center"/>
    </xf>
    <xf numFmtId="40" fontId="6" fillId="0" borderId="10" xfId="4" applyNumberFormat="1" applyFont="1" applyBorder="1" applyAlignment="1" applyProtection="1">
      <alignment vertical="center"/>
    </xf>
    <xf numFmtId="10" fontId="8" fillId="2" borderId="5" xfId="5" applyNumberFormat="1" applyFont="1" applyFill="1" applyBorder="1" applyAlignment="1" applyProtection="1">
      <alignment vertical="center"/>
    </xf>
    <xf numFmtId="0" fontId="8" fillId="0" borderId="0" xfId="4" applyFont="1" applyFill="1" applyBorder="1" applyAlignment="1" applyProtection="1">
      <alignment horizontal="center" vertical="center"/>
    </xf>
    <xf numFmtId="0" fontId="8" fillId="0" borderId="10" xfId="4" applyFont="1" applyFill="1" applyBorder="1" applyAlignment="1" applyProtection="1">
      <alignment horizontal="center" vertical="center"/>
    </xf>
    <xf numFmtId="38" fontId="8" fillId="0" borderId="10" xfId="4" applyNumberFormat="1" applyFont="1" applyFill="1" applyBorder="1" applyAlignment="1" applyProtection="1">
      <alignment vertical="center"/>
    </xf>
    <xf numFmtId="40" fontId="8" fillId="0" borderId="10" xfId="4" applyNumberFormat="1" applyFont="1" applyFill="1" applyBorder="1" applyAlignment="1" applyProtection="1">
      <alignment vertical="center"/>
    </xf>
    <xf numFmtId="10" fontId="8" fillId="0" borderId="0" xfId="5" applyNumberFormat="1" applyFont="1" applyFill="1" applyBorder="1" applyAlignment="1" applyProtection="1">
      <alignment vertical="center"/>
    </xf>
    <xf numFmtId="173" fontId="8" fillId="0" borderId="12" xfId="4" applyNumberFormat="1" applyFont="1" applyFill="1" applyBorder="1" applyAlignment="1" applyProtection="1">
      <alignment vertical="center"/>
    </xf>
    <xf numFmtId="0" fontId="6" fillId="0" borderId="10" xfId="4" applyFont="1" applyFill="1" applyBorder="1" applyAlignment="1" applyProtection="1">
      <alignment vertical="center"/>
    </xf>
    <xf numFmtId="172" fontId="8" fillId="0" borderId="0" xfId="4" applyNumberFormat="1" applyFont="1" applyFill="1" applyBorder="1" applyAlignment="1" applyProtection="1">
      <alignment horizontal="center" vertical="center"/>
    </xf>
    <xf numFmtId="3" fontId="8" fillId="0" borderId="12" xfId="4" applyNumberFormat="1" applyFont="1" applyFill="1" applyBorder="1" applyAlignment="1" applyProtection="1">
      <alignment vertical="center"/>
    </xf>
    <xf numFmtId="173" fontId="8" fillId="0" borderId="12" xfId="4" applyNumberFormat="1" applyFont="1" applyFill="1" applyBorder="1" applyAlignment="1" applyProtection="1">
      <alignment horizontal="center" vertical="center"/>
    </xf>
    <xf numFmtId="10" fontId="8" fillId="0" borderId="12" xfId="5" applyNumberFormat="1" applyFont="1" applyFill="1" applyBorder="1" applyAlignment="1" applyProtection="1">
      <alignment vertical="center"/>
    </xf>
    <xf numFmtId="171" fontId="8" fillId="0" borderId="12" xfId="1" applyNumberFormat="1" applyFont="1" applyFill="1" applyBorder="1" applyAlignment="1" applyProtection="1">
      <alignment vertical="center"/>
    </xf>
    <xf numFmtId="172" fontId="8" fillId="0" borderId="12" xfId="4" applyNumberFormat="1" applyFont="1" applyFill="1" applyBorder="1" applyAlignment="1" applyProtection="1">
      <alignment vertical="center"/>
    </xf>
    <xf numFmtId="0" fontId="6" fillId="0" borderId="0" xfId="0" applyFont="1" applyAlignment="1" applyProtection="1">
      <alignment vertical="center"/>
    </xf>
    <xf numFmtId="0" fontId="7" fillId="0" borderId="0" xfId="0" applyFont="1" applyBorder="1" applyAlignment="1" applyProtection="1">
      <alignment horizontal="left" vertical="center"/>
    </xf>
    <xf numFmtId="0" fontId="6" fillId="0" borderId="0" xfId="0" applyFont="1" applyFill="1" applyBorder="1" applyAlignment="1">
      <alignment vertical="center"/>
    </xf>
    <xf numFmtId="0" fontId="6" fillId="0" borderId="0" xfId="0" applyFont="1" applyBorder="1" applyAlignment="1" applyProtection="1">
      <alignment horizontal="left" vertical="center" indent="2"/>
    </xf>
    <xf numFmtId="0" fontId="6" fillId="0" borderId="0" xfId="0" applyFont="1" applyBorder="1" applyAlignment="1" applyProtection="1">
      <alignment horizontal="left" vertical="center" indent="2"/>
      <protection locked="0"/>
    </xf>
    <xf numFmtId="0" fontId="6" fillId="3" borderId="15" xfId="0" applyFont="1" applyFill="1" applyBorder="1" applyAlignment="1">
      <alignment vertical="center"/>
    </xf>
    <xf numFmtId="0" fontId="7" fillId="3" borderId="16" xfId="0" applyFont="1" applyFill="1" applyBorder="1" applyAlignment="1">
      <alignment vertical="center"/>
    </xf>
    <xf numFmtId="0" fontId="6" fillId="3" borderId="16" xfId="0" applyFont="1" applyFill="1" applyBorder="1" applyAlignment="1">
      <alignment vertical="center"/>
    </xf>
    <xf numFmtId="6" fontId="7" fillId="3" borderId="16" xfId="2" applyNumberFormat="1" applyFont="1" applyFill="1" applyBorder="1" applyAlignment="1">
      <alignment vertical="center"/>
    </xf>
    <xf numFmtId="0" fontId="6" fillId="3" borderId="17" xfId="0" applyFont="1" applyFill="1" applyBorder="1" applyAlignment="1">
      <alignment vertical="center"/>
    </xf>
    <xf numFmtId="38" fontId="6" fillId="0" borderId="0" xfId="0" applyNumberFormat="1" applyFont="1" applyAlignment="1">
      <alignment vertical="center"/>
    </xf>
    <xf numFmtId="10" fontId="6" fillId="0" borderId="0" xfId="0" applyNumberFormat="1" applyFont="1" applyAlignment="1">
      <alignment vertical="center"/>
    </xf>
    <xf numFmtId="0" fontId="7" fillId="0" borderId="0" xfId="0" applyFont="1" applyAlignment="1" applyProtection="1">
      <alignment horizontal="left" vertical="center"/>
    </xf>
    <xf numFmtId="0" fontId="6" fillId="0" borderId="0" xfId="0" applyFont="1" applyFill="1" applyBorder="1" applyAlignment="1" applyProtection="1">
      <alignment horizontal="center" vertical="center"/>
    </xf>
    <xf numFmtId="0" fontId="6" fillId="0" borderId="0" xfId="0" applyFont="1" applyFill="1" applyBorder="1" applyAlignment="1" applyProtection="1">
      <alignment horizontal="right" vertical="center"/>
    </xf>
    <xf numFmtId="9" fontId="6" fillId="0" borderId="0" xfId="5" applyFont="1" applyFill="1" applyBorder="1" applyAlignment="1" applyProtection="1">
      <alignment horizontal="right" vertical="center"/>
    </xf>
    <xf numFmtId="0" fontId="6" fillId="0" borderId="0" xfId="0" applyFont="1" applyAlignment="1">
      <alignment horizontal="right" vertical="center"/>
    </xf>
    <xf numFmtId="38" fontId="6" fillId="0" borderId="0" xfId="0" applyNumberFormat="1" applyFont="1" applyBorder="1" applyAlignment="1" applyProtection="1">
      <alignment vertical="center"/>
    </xf>
    <xf numFmtId="0" fontId="6" fillId="0" borderId="0" xfId="0" applyFont="1" applyFill="1" applyBorder="1" applyAlignment="1" applyProtection="1">
      <alignment vertical="center"/>
    </xf>
    <xf numFmtId="43" fontId="6" fillId="0" borderId="0" xfId="1" applyNumberFormat="1" applyFont="1" applyFill="1" applyBorder="1" applyAlignment="1" applyProtection="1">
      <alignment vertical="center"/>
    </xf>
    <xf numFmtId="43" fontId="9" fillId="0" borderId="0" xfId="1" applyNumberFormat="1" applyFont="1" applyFill="1" applyBorder="1" applyAlignment="1" applyProtection="1">
      <alignment vertical="center"/>
    </xf>
    <xf numFmtId="43" fontId="6" fillId="0" borderId="0" xfId="0" applyNumberFormat="1" applyFont="1" applyBorder="1" applyAlignment="1" applyProtection="1">
      <alignment vertical="center"/>
    </xf>
    <xf numFmtId="171" fontId="6" fillId="0" borderId="0" xfId="0" applyNumberFormat="1" applyFont="1" applyBorder="1" applyAlignment="1" applyProtection="1">
      <alignment vertical="center"/>
    </xf>
    <xf numFmtId="0" fontId="6" fillId="0" borderId="10" xfId="0" applyFont="1" applyFill="1" applyBorder="1" applyAlignment="1" applyProtection="1">
      <alignment horizontal="center" vertical="center"/>
    </xf>
    <xf numFmtId="171" fontId="8" fillId="0" borderId="10" xfId="1" applyNumberFormat="1" applyFont="1" applyFill="1" applyBorder="1" applyAlignment="1" applyProtection="1">
      <alignment vertical="center"/>
    </xf>
    <xf numFmtId="0" fontId="8" fillId="0" borderId="10" xfId="0" applyFont="1" applyFill="1" applyBorder="1" applyAlignment="1" applyProtection="1">
      <alignment vertical="center"/>
    </xf>
    <xf numFmtId="43" fontId="8" fillId="0" borderId="10" xfId="1" applyNumberFormat="1" applyFont="1" applyFill="1" applyBorder="1" applyAlignment="1" applyProtection="1">
      <alignment vertical="center"/>
    </xf>
    <xf numFmtId="43" fontId="9" fillId="0" borderId="10" xfId="1" applyNumberFormat="1" applyFont="1" applyFill="1" applyBorder="1" applyAlignment="1" applyProtection="1">
      <alignment vertical="center"/>
    </xf>
    <xf numFmtId="43" fontId="6" fillId="0" borderId="10" xfId="0" applyNumberFormat="1" applyFont="1" applyFill="1" applyBorder="1" applyAlignment="1" applyProtection="1">
      <alignment vertical="center"/>
    </xf>
    <xf numFmtId="171" fontId="6" fillId="0" borderId="10" xfId="0" applyNumberFormat="1" applyFont="1" applyFill="1" applyBorder="1" applyAlignment="1" applyProtection="1">
      <alignment vertical="center"/>
    </xf>
    <xf numFmtId="0" fontId="14" fillId="0" borderId="1" xfId="0" applyFont="1" applyFill="1" applyBorder="1" applyAlignment="1">
      <alignment vertical="center"/>
    </xf>
    <xf numFmtId="0" fontId="15" fillId="0" borderId="2" xfId="0" applyFont="1" applyFill="1" applyBorder="1" applyAlignment="1" applyProtection="1">
      <alignment horizontal="center" vertical="center"/>
    </xf>
    <xf numFmtId="0" fontId="14" fillId="0" borderId="3" xfId="0" applyFont="1" applyBorder="1" applyAlignment="1">
      <alignment vertical="center"/>
    </xf>
    <xf numFmtId="0" fontId="14" fillId="0" borderId="4" xfId="0" applyFont="1" applyFill="1" applyBorder="1" applyAlignment="1">
      <alignment vertical="center"/>
    </xf>
    <xf numFmtId="0" fontId="15" fillId="0" borderId="8" xfId="0" applyFont="1" applyFill="1" applyBorder="1" applyAlignment="1" applyProtection="1">
      <alignment horizontal="center" vertical="center"/>
    </xf>
    <xf numFmtId="37" fontId="15" fillId="0" borderId="8" xfId="1" applyNumberFormat="1" applyFont="1" applyFill="1" applyBorder="1" applyAlignment="1" applyProtection="1">
      <alignment horizontal="center" vertical="center"/>
    </xf>
    <xf numFmtId="0" fontId="14" fillId="0" borderId="6" xfId="0" applyFont="1" applyBorder="1" applyAlignment="1">
      <alignment vertical="center"/>
    </xf>
    <xf numFmtId="0" fontId="15" fillId="0" borderId="0" xfId="0" applyFont="1" applyFill="1" applyBorder="1" applyAlignment="1" applyProtection="1">
      <alignment horizontal="center" vertical="center"/>
    </xf>
    <xf numFmtId="39" fontId="14" fillId="0" borderId="0" xfId="0" applyNumberFormat="1" applyFont="1" applyFill="1" applyBorder="1" applyAlignment="1" applyProtection="1">
      <alignment horizontal="center" vertical="center"/>
    </xf>
    <xf numFmtId="39" fontId="14" fillId="0" borderId="2" xfId="0" applyNumberFormat="1" applyFont="1" applyFill="1" applyBorder="1" applyAlignment="1" applyProtection="1">
      <alignment vertical="center"/>
    </xf>
    <xf numFmtId="39" fontId="14" fillId="0" borderId="0" xfId="0" applyNumberFormat="1" applyFont="1" applyFill="1" applyBorder="1" applyAlignment="1" applyProtection="1">
      <alignment vertical="center"/>
    </xf>
    <xf numFmtId="0" fontId="15" fillId="0" borderId="18" xfId="0" applyFont="1" applyFill="1" applyBorder="1" applyAlignment="1" applyProtection="1">
      <alignment horizontal="center" vertical="center"/>
    </xf>
    <xf numFmtId="39" fontId="14" fillId="0" borderId="19" xfId="0" applyNumberFormat="1" applyFont="1" applyFill="1" applyBorder="1" applyAlignment="1" applyProtection="1">
      <alignment vertical="center"/>
    </xf>
    <xf numFmtId="0" fontId="14" fillId="0" borderId="0" xfId="0" applyFont="1" applyFill="1" applyAlignment="1">
      <alignment horizontal="center" vertical="center"/>
    </xf>
    <xf numFmtId="39" fontId="14" fillId="0" borderId="19" xfId="0" applyNumberFormat="1" applyFont="1" applyFill="1" applyBorder="1" applyAlignment="1" applyProtection="1">
      <alignment horizontal="center" vertical="center"/>
    </xf>
    <xf numFmtId="39" fontId="14" fillId="0" borderId="20" xfId="0" applyNumberFormat="1" applyFont="1" applyFill="1" applyBorder="1" applyAlignment="1" applyProtection="1">
      <alignment horizontal="center" vertical="center"/>
    </xf>
    <xf numFmtId="39" fontId="14" fillId="0" borderId="20" xfId="0" applyNumberFormat="1" applyFont="1" applyFill="1" applyBorder="1" applyAlignment="1" applyProtection="1">
      <alignment vertical="center"/>
    </xf>
    <xf numFmtId="0" fontId="14" fillId="0" borderId="20" xfId="0" applyFont="1" applyFill="1" applyBorder="1" applyAlignment="1">
      <alignment horizontal="center" vertical="center"/>
    </xf>
    <xf numFmtId="0" fontId="15" fillId="0" borderId="19" xfId="0" applyFont="1" applyFill="1" applyBorder="1" applyAlignment="1" applyProtection="1">
      <alignment horizontal="center" vertical="center"/>
    </xf>
    <xf numFmtId="0" fontId="14" fillId="0" borderId="7" xfId="0" applyFont="1" applyBorder="1" applyAlignment="1">
      <alignment vertical="center"/>
    </xf>
    <xf numFmtId="0" fontId="16" fillId="0" borderId="8" xfId="0" applyFont="1" applyBorder="1" applyAlignment="1" applyProtection="1">
      <alignment horizontal="left" vertical="center"/>
    </xf>
    <xf numFmtId="0" fontId="14" fillId="0" borderId="8" xfId="0" applyFont="1" applyBorder="1" applyAlignment="1" applyProtection="1">
      <alignment vertical="center"/>
    </xf>
    <xf numFmtId="0" fontId="14" fillId="0" borderId="21" xfId="0" applyFont="1" applyBorder="1" applyAlignment="1" applyProtection="1">
      <alignment vertical="center"/>
    </xf>
    <xf numFmtId="0" fontId="14" fillId="0" borderId="8" xfId="0" applyFont="1" applyFill="1" applyBorder="1" applyAlignment="1" applyProtection="1">
      <alignment vertical="center"/>
    </xf>
    <xf numFmtId="0" fontId="14" fillId="0" borderId="21" xfId="0" applyFont="1" applyBorder="1" applyAlignment="1">
      <alignment vertical="center"/>
    </xf>
    <xf numFmtId="0" fontId="14" fillId="0" borderId="8" xfId="0" applyFont="1" applyBorder="1" applyAlignment="1">
      <alignment vertical="center"/>
    </xf>
    <xf numFmtId="0" fontId="14" fillId="0" borderId="9" xfId="0" applyFont="1" applyBorder="1" applyAlignment="1">
      <alignment vertical="center"/>
    </xf>
    <xf numFmtId="191" fontId="6" fillId="0" borderId="0" xfId="5" applyNumberFormat="1" applyFont="1" applyFill="1" applyBorder="1" applyAlignment="1" applyProtection="1">
      <alignment horizontal="right" vertical="center"/>
    </xf>
    <xf numFmtId="0" fontId="7" fillId="0" borderId="8" xfId="0" applyFont="1" applyFill="1" applyBorder="1" applyAlignment="1">
      <alignment vertical="center"/>
    </xf>
    <xf numFmtId="0" fontId="7" fillId="0" borderId="8" xfId="0" applyFont="1" applyBorder="1" applyAlignment="1" applyProtection="1">
      <alignment horizontal="center" vertical="center"/>
    </xf>
    <xf numFmtId="0" fontId="7" fillId="0" borderId="8" xfId="0" applyFont="1" applyBorder="1" applyAlignment="1" applyProtection="1">
      <alignment vertical="center"/>
    </xf>
    <xf numFmtId="6" fontId="7" fillId="0" borderId="8" xfId="2" applyNumberFormat="1" applyFont="1" applyBorder="1" applyAlignment="1" applyProtection="1">
      <alignment vertical="center"/>
    </xf>
    <xf numFmtId="8" fontId="7" fillId="0" borderId="8" xfId="2" applyNumberFormat="1" applyFont="1" applyBorder="1" applyAlignment="1" applyProtection="1">
      <alignment vertical="center"/>
    </xf>
    <xf numFmtId="42" fontId="6" fillId="4" borderId="8" xfId="4" applyNumberFormat="1" applyFont="1" applyFill="1" applyBorder="1" applyAlignment="1" applyProtection="1">
      <alignment vertical="center"/>
    </xf>
    <xf numFmtId="0" fontId="7" fillId="5" borderId="8" xfId="0" applyFont="1" applyFill="1" applyBorder="1" applyAlignment="1">
      <alignment vertical="center"/>
    </xf>
    <xf numFmtId="6" fontId="7" fillId="5" borderId="8" xfId="0" applyNumberFormat="1" applyFont="1" applyFill="1" applyBorder="1" applyAlignment="1">
      <alignment vertical="center"/>
    </xf>
    <xf numFmtId="8" fontId="7" fillId="5" borderId="8" xfId="0" applyNumberFormat="1" applyFont="1" applyFill="1" applyBorder="1" applyAlignment="1">
      <alignment vertical="center"/>
    </xf>
    <xf numFmtId="0" fontId="2" fillId="0" borderId="0" xfId="3" applyAlignment="1" applyProtection="1">
      <alignment vertical="center"/>
    </xf>
    <xf numFmtId="44" fontId="6" fillId="0" borderId="0" xfId="4" applyNumberFormat="1" applyFont="1" applyAlignment="1" applyProtection="1">
      <alignment vertical="center"/>
    </xf>
    <xf numFmtId="0" fontId="17" fillId="0" borderId="0" xfId="4" applyFont="1" applyAlignment="1" applyProtection="1">
      <alignment vertical="center"/>
    </xf>
    <xf numFmtId="171" fontId="6" fillId="0" borderId="0" xfId="0" applyNumberFormat="1" applyFont="1" applyAlignment="1">
      <alignment vertical="center"/>
    </xf>
    <xf numFmtId="0" fontId="13" fillId="0" borderId="0" xfId="0" applyFont="1" applyAlignment="1">
      <alignment horizontal="left" vertical="center"/>
    </xf>
    <xf numFmtId="0" fontId="7" fillId="0" borderId="8" xfId="0" applyFont="1" applyBorder="1" applyAlignment="1">
      <alignment horizontal="left" vertical="center"/>
    </xf>
    <xf numFmtId="0" fontId="6" fillId="0" borderId="14" xfId="0" applyFont="1" applyBorder="1" applyAlignment="1">
      <alignment horizontal="center" vertical="center"/>
    </xf>
    <xf numFmtId="37" fontId="15" fillId="0" borderId="24" xfId="1" applyNumberFormat="1" applyFont="1" applyFill="1" applyBorder="1" applyAlignment="1" applyProtection="1">
      <alignment horizontal="center" vertical="center"/>
    </xf>
    <xf numFmtId="0" fontId="7" fillId="0" borderId="0" xfId="0" applyFont="1" applyAlignment="1" applyProtection="1">
      <alignment horizontal="left" vertical="center"/>
    </xf>
    <xf numFmtId="0" fontId="7" fillId="0" borderId="0" xfId="0" applyFont="1" applyBorder="1" applyAlignment="1">
      <alignment horizontal="left" vertical="center"/>
    </xf>
    <xf numFmtId="9" fontId="15" fillId="0" borderId="0" xfId="0" applyNumberFormat="1" applyFont="1" applyFill="1" applyBorder="1" applyAlignment="1" applyProtection="1">
      <alignment horizontal="center" vertical="center"/>
    </xf>
    <xf numFmtId="9" fontId="15" fillId="0" borderId="18" xfId="0" applyNumberFormat="1" applyFont="1" applyFill="1" applyBorder="1" applyAlignment="1" applyProtection="1">
      <alignment horizontal="center" vertical="center"/>
    </xf>
    <xf numFmtId="9" fontId="15" fillId="0" borderId="22" xfId="0" applyNumberFormat="1" applyFont="1" applyFill="1" applyBorder="1" applyAlignment="1" applyProtection="1">
      <alignment horizontal="center" vertical="center"/>
    </xf>
    <xf numFmtId="9" fontId="15" fillId="0" borderId="23" xfId="0" applyNumberFormat="1" applyFont="1" applyFill="1" applyBorder="1" applyAlignment="1" applyProtection="1">
      <alignment horizontal="center" vertical="center"/>
    </xf>
    <xf numFmtId="9" fontId="15" fillId="0" borderId="19" xfId="0" applyNumberFormat="1" applyFont="1" applyFill="1" applyBorder="1" applyAlignment="1" applyProtection="1">
      <alignment horizontal="center" vertical="center"/>
    </xf>
    <xf numFmtId="0" fontId="15" fillId="0" borderId="14" xfId="0" applyFont="1" applyFill="1" applyBorder="1" applyAlignment="1" applyProtection="1">
      <alignment horizontal="center" vertical="center"/>
    </xf>
    <xf numFmtId="39" fontId="14" fillId="0" borderId="0" xfId="0" applyNumberFormat="1" applyFont="1" applyFill="1" applyBorder="1" applyAlignment="1" applyProtection="1">
      <alignment horizontal="center" vertical="center"/>
    </xf>
    <xf numFmtId="39" fontId="14" fillId="0" borderId="20" xfId="0" applyNumberFormat="1" applyFont="1" applyFill="1" applyBorder="1" applyAlignment="1" applyProtection="1">
      <alignment horizontal="center" vertical="center"/>
    </xf>
    <xf numFmtId="39" fontId="14" fillId="0" borderId="19" xfId="0" applyNumberFormat="1" applyFont="1" applyFill="1" applyBorder="1" applyAlignment="1" applyProtection="1">
      <alignment horizontal="center" vertical="center"/>
    </xf>
    <xf numFmtId="0" fontId="8" fillId="2" borderId="25" xfId="0" applyFont="1" applyFill="1" applyBorder="1" applyAlignment="1" applyProtection="1">
      <alignment horizontal="left" vertical="center"/>
      <protection locked="0"/>
    </xf>
    <xf numFmtId="0" fontId="8" fillId="2" borderId="13" xfId="0" applyFont="1" applyFill="1" applyBorder="1" applyAlignment="1" applyProtection="1">
      <alignment horizontal="left" vertical="center"/>
      <protection locked="0"/>
    </xf>
    <xf numFmtId="0" fontId="8" fillId="2" borderId="26" xfId="0" applyFont="1" applyFill="1" applyBorder="1" applyAlignment="1" applyProtection="1">
      <alignment horizontal="left" vertical="center"/>
      <protection locked="0"/>
    </xf>
    <xf numFmtId="0" fontId="7" fillId="0" borderId="0" xfId="0" applyFont="1" applyAlignment="1" applyProtection="1">
      <alignment horizontal="left" vertical="center"/>
      <protection locked="0"/>
    </xf>
    <xf numFmtId="0" fontId="8" fillId="2" borderId="27" xfId="0" applyFont="1" applyFill="1" applyBorder="1" applyAlignment="1" applyProtection="1">
      <alignment horizontal="left" vertical="center"/>
      <protection locked="0"/>
    </xf>
    <xf numFmtId="0" fontId="8" fillId="2" borderId="28" xfId="0" applyFont="1" applyFill="1" applyBorder="1" applyAlignment="1" applyProtection="1">
      <alignment horizontal="left" vertical="center"/>
      <protection locked="0"/>
    </xf>
    <xf numFmtId="0" fontId="8" fillId="2" borderId="29" xfId="0" applyFont="1" applyFill="1" applyBorder="1" applyAlignment="1" applyProtection="1">
      <alignment horizontal="left" vertical="center"/>
      <protection locked="0"/>
    </xf>
    <xf numFmtId="0" fontId="8" fillId="2" borderId="30" xfId="0" applyFont="1" applyFill="1" applyBorder="1" applyAlignment="1" applyProtection="1">
      <alignment horizontal="left" vertical="center" wrapText="1"/>
      <protection locked="0"/>
    </xf>
    <xf numFmtId="0" fontId="8" fillId="2" borderId="0" xfId="0" applyFont="1" applyFill="1" applyBorder="1" applyAlignment="1" applyProtection="1">
      <alignment horizontal="left" vertical="center"/>
      <protection locked="0"/>
    </xf>
    <xf numFmtId="0" fontId="8" fillId="2" borderId="31" xfId="0" applyFont="1" applyFill="1" applyBorder="1" applyAlignment="1" applyProtection="1">
      <alignment horizontal="left" vertical="center"/>
      <protection locked="0"/>
    </xf>
    <xf numFmtId="0" fontId="6" fillId="0" borderId="14" xfId="4" applyFont="1" applyBorder="1" applyAlignment="1" applyProtection="1">
      <alignment horizontal="center" vertical="center"/>
    </xf>
    <xf numFmtId="0" fontId="16" fillId="0" borderId="0" xfId="4" applyFont="1" applyAlignment="1" applyProtection="1">
      <alignment horizontal="center" vertical="center" wrapText="1"/>
    </xf>
  </cellXfs>
  <cellStyles count="6">
    <cellStyle name="Comma" xfId="1" builtinId="3"/>
    <cellStyle name="Currency" xfId="2" builtinId="4"/>
    <cellStyle name="Hyperlink" xfId="3" builtinId="8"/>
    <cellStyle name="Normal" xfId="0" builtinId="0"/>
    <cellStyle name="Normal_ReStocking v2" xfId="4" xr:uid="{D0E5A2E9-EEAE-4EF6-9B0C-1B8054570535}"/>
    <cellStyle name="Percent" xfId="5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0</xdr:row>
      <xdr:rowOff>0</xdr:rowOff>
    </xdr:from>
    <xdr:to>
      <xdr:col>12</xdr:col>
      <xdr:colOff>771525</xdr:colOff>
      <xdr:row>1</xdr:row>
      <xdr:rowOff>9525</xdr:rowOff>
    </xdr:to>
    <xdr:pic>
      <xdr:nvPicPr>
        <xdr:cNvPr id="7198" name="Picture 2">
          <a:extLst>
            <a:ext uri="{FF2B5EF4-FFF2-40B4-BE49-F238E27FC236}">
              <a16:creationId xmlns:a16="http://schemas.microsoft.com/office/drawing/2014/main" id="{1CD82268-EB66-1EF0-2CAB-6C86181800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475" y="0"/>
          <a:ext cx="6115050" cy="1733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mailto:jtranel@colostate.edu" TargetMode="External"/><Relationship Id="rId1" Type="http://schemas.openxmlformats.org/officeDocument/2006/relationships/hyperlink" Target="http://www.abm.extension.colostate.ed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71691E-74C3-4A71-BFA9-28FA5B7AF5BA}">
  <sheetPr>
    <pageSetUpPr fitToPage="1"/>
  </sheetPr>
  <dimension ref="B1:Q71"/>
  <sheetViews>
    <sheetView tabSelected="1" zoomScale="110" zoomScaleNormal="110" workbookViewId="0"/>
  </sheetViews>
  <sheetFormatPr defaultColWidth="8.85546875" defaultRowHeight="15" customHeight="1" x14ac:dyDescent="0.2"/>
  <cols>
    <col min="1" max="1" width="4.7109375" style="1" customWidth="1"/>
    <col min="2" max="2" width="0.85546875" style="1" customWidth="1"/>
    <col min="3" max="3" width="13.5703125" style="1" customWidth="1"/>
    <col min="4" max="5" width="10.7109375" style="1" customWidth="1"/>
    <col min="6" max="6" width="1.7109375" style="1" customWidth="1"/>
    <col min="7" max="7" width="11.7109375" style="1" customWidth="1"/>
    <col min="8" max="8" width="0.85546875" style="1" customWidth="1"/>
    <col min="9" max="9" width="2.5703125" style="1" customWidth="1"/>
    <col min="10" max="10" width="0.85546875" style="1" customWidth="1"/>
    <col min="11" max="11" width="15.7109375" style="1" customWidth="1"/>
    <col min="12" max="13" width="11.7109375" style="1" customWidth="1"/>
    <col min="14" max="14" width="0.85546875" style="1" customWidth="1"/>
    <col min="15" max="15" width="8.85546875" style="1"/>
    <col min="16" max="16" width="1.7109375" style="1" customWidth="1"/>
    <col min="17" max="16384" width="8.85546875" style="1"/>
  </cols>
  <sheetData>
    <row r="1" spans="2:15" ht="135.75" customHeight="1" x14ac:dyDescent="0.2"/>
    <row r="2" spans="2:15" ht="19.899999999999999" customHeight="1" x14ac:dyDescent="0.2">
      <c r="C2" s="257" t="s">
        <v>128</v>
      </c>
      <c r="D2" s="257"/>
      <c r="E2" s="257"/>
      <c r="F2" s="257"/>
      <c r="G2" s="257"/>
      <c r="H2" s="257"/>
      <c r="I2" s="257"/>
      <c r="J2" s="257"/>
      <c r="K2" s="257"/>
      <c r="M2" s="126">
        <v>2025</v>
      </c>
    </row>
    <row r="3" spans="2:15" ht="19.899999999999999" customHeight="1" x14ac:dyDescent="0.2">
      <c r="C3" s="127" t="s">
        <v>197</v>
      </c>
    </row>
    <row r="4" spans="2:15" ht="4.9000000000000004" customHeight="1" thickBot="1" x14ac:dyDescent="0.25"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</row>
    <row r="5" spans="2:15" ht="13.9" customHeight="1" x14ac:dyDescent="0.2"/>
    <row r="6" spans="2:15" ht="13.9" customHeight="1" thickBot="1" x14ac:dyDescent="0.25">
      <c r="C6" s="261" t="s">
        <v>92</v>
      </c>
      <c r="D6" s="261"/>
      <c r="E6" s="261"/>
      <c r="F6" s="261"/>
      <c r="G6" s="261"/>
      <c r="H6" s="198"/>
      <c r="I6" s="2"/>
      <c r="J6" s="2"/>
      <c r="K6" s="262" t="s">
        <v>108</v>
      </c>
      <c r="L6" s="262"/>
      <c r="M6" s="262"/>
      <c r="N6" s="2"/>
    </row>
    <row r="7" spans="2:15" ht="4.9000000000000004" customHeight="1" x14ac:dyDescent="0.2">
      <c r="B7" s="4"/>
      <c r="C7" s="5"/>
      <c r="D7" s="5"/>
      <c r="E7" s="5"/>
      <c r="F7" s="5"/>
      <c r="G7" s="5"/>
      <c r="H7" s="6"/>
      <c r="I7" s="2"/>
      <c r="J7" s="50"/>
      <c r="K7" s="51"/>
      <c r="L7" s="51"/>
      <c r="M7" s="51"/>
      <c r="N7" s="34"/>
    </row>
    <row r="8" spans="2:15" ht="13.9" customHeight="1" x14ac:dyDescent="0.2">
      <c r="B8" s="7"/>
      <c r="C8" s="8" t="s">
        <v>96</v>
      </c>
      <c r="D8" s="9"/>
      <c r="E8" s="10"/>
      <c r="F8" s="9"/>
      <c r="G8" s="200">
        <f>'Assumptions + Income'!G7</f>
        <v>200</v>
      </c>
      <c r="H8" s="12"/>
      <c r="I8" s="13"/>
      <c r="J8" s="52"/>
      <c r="K8" s="21" t="s">
        <v>94</v>
      </c>
      <c r="M8" s="201">
        <f>'Assumptions + Income'!G12</f>
        <v>0.9</v>
      </c>
      <c r="N8" s="53"/>
      <c r="O8" s="14"/>
    </row>
    <row r="9" spans="2:15" ht="13.9" customHeight="1" x14ac:dyDescent="0.2">
      <c r="B9" s="7"/>
      <c r="C9" s="10" t="s">
        <v>93</v>
      </c>
      <c r="D9" s="10"/>
      <c r="E9" s="10"/>
      <c r="F9" s="10"/>
      <c r="G9" s="201">
        <f>'Assumptions + Income'!G9</f>
        <v>0.05</v>
      </c>
      <c r="H9" s="12"/>
      <c r="I9" s="13"/>
      <c r="J9" s="52"/>
      <c r="K9" s="23" t="s">
        <v>97</v>
      </c>
      <c r="M9" s="201">
        <f>'Assumptions + Income'!E13</f>
        <v>0.5</v>
      </c>
      <c r="N9" s="53"/>
      <c r="O9" s="14"/>
    </row>
    <row r="10" spans="2:15" ht="13.9" customHeight="1" x14ac:dyDescent="0.2">
      <c r="B10" s="15"/>
      <c r="C10" s="19" t="s">
        <v>106</v>
      </c>
      <c r="D10" s="19"/>
      <c r="E10" s="10"/>
      <c r="F10" s="19"/>
      <c r="G10" s="201">
        <f>'Assumptions + Income'!G10</f>
        <v>0.1</v>
      </c>
      <c r="H10" s="17"/>
      <c r="I10" s="18"/>
      <c r="J10" s="54"/>
      <c r="K10" s="10" t="s">
        <v>150</v>
      </c>
      <c r="L10" s="10"/>
      <c r="M10" s="203">
        <f>'Assumptions + Income'!M7</f>
        <v>180</v>
      </c>
      <c r="N10" s="55"/>
      <c r="O10" s="10"/>
    </row>
    <row r="11" spans="2:15" ht="13.9" customHeight="1" x14ac:dyDescent="0.2">
      <c r="B11" s="15"/>
      <c r="C11" s="8" t="s">
        <v>105</v>
      </c>
      <c r="D11" s="9"/>
      <c r="E11" s="10"/>
      <c r="F11" s="9"/>
      <c r="G11" s="200">
        <f>'Assumptions + Income'!G8</f>
        <v>25</v>
      </c>
      <c r="H11" s="17"/>
      <c r="I11" s="18"/>
      <c r="J11" s="54"/>
      <c r="K11" s="189" t="s">
        <v>149</v>
      </c>
      <c r="L11" s="10"/>
      <c r="M11" s="203">
        <f>'Assumptions + Income'!M8</f>
        <v>90</v>
      </c>
      <c r="N11" s="55"/>
      <c r="O11" s="10"/>
    </row>
    <row r="12" spans="2:15" ht="13.9" customHeight="1" x14ac:dyDescent="0.2">
      <c r="B12" s="15"/>
      <c r="C12" s="19" t="s">
        <v>159</v>
      </c>
      <c r="D12" s="19"/>
      <c r="E12" s="10"/>
      <c r="F12" s="19"/>
      <c r="G12" s="243">
        <f>'Assumptions + Income'!M14</f>
        <v>8</v>
      </c>
      <c r="H12" s="17"/>
      <c r="I12" s="18"/>
      <c r="J12" s="54"/>
      <c r="K12" s="190" t="s">
        <v>148</v>
      </c>
      <c r="L12" s="10"/>
      <c r="M12" s="203">
        <f>'Assumptions + Income'!M9</f>
        <v>90</v>
      </c>
      <c r="N12" s="55"/>
      <c r="O12" s="10"/>
    </row>
    <row r="13" spans="2:15" ht="13.9" customHeight="1" x14ac:dyDescent="0.2">
      <c r="B13" s="15"/>
      <c r="C13" s="19" t="s">
        <v>107</v>
      </c>
      <c r="D13" s="19"/>
      <c r="E13" s="10"/>
      <c r="F13" s="19"/>
      <c r="G13" s="201">
        <f>'Assumptions + Income'!G11</f>
        <v>0.15</v>
      </c>
      <c r="H13" s="17"/>
      <c r="I13" s="18"/>
      <c r="J13" s="54"/>
      <c r="N13" s="55"/>
      <c r="O13" s="10"/>
    </row>
    <row r="14" spans="2:15" ht="13.9" customHeight="1" x14ac:dyDescent="0.2">
      <c r="B14" s="15"/>
      <c r="G14" s="202"/>
      <c r="H14" s="17"/>
      <c r="I14" s="18"/>
      <c r="J14" s="54"/>
      <c r="K14" s="21" t="s">
        <v>147</v>
      </c>
      <c r="L14" s="10"/>
      <c r="M14" s="203">
        <f>'Assumptions + Income'!M11</f>
        <v>40</v>
      </c>
      <c r="N14" s="55"/>
      <c r="O14" s="10"/>
    </row>
    <row r="15" spans="2:15" ht="13.9" customHeight="1" x14ac:dyDescent="0.2">
      <c r="B15" s="15"/>
      <c r="C15" s="21" t="s">
        <v>104</v>
      </c>
      <c r="D15" s="22"/>
      <c r="E15" s="10"/>
      <c r="F15" s="22"/>
      <c r="G15" s="201">
        <f>'Assumptions + Income'!G14</f>
        <v>0.2</v>
      </c>
      <c r="H15" s="17"/>
      <c r="I15" s="18"/>
      <c r="J15" s="54"/>
      <c r="K15" s="21" t="s">
        <v>146</v>
      </c>
      <c r="L15" s="10"/>
      <c r="M15" s="203">
        <f>'Assumptions + Income'!M12</f>
        <v>50</v>
      </c>
      <c r="N15" s="55"/>
      <c r="O15" s="10"/>
    </row>
    <row r="16" spans="2:15" ht="4.9000000000000004" customHeight="1" thickBot="1" x14ac:dyDescent="0.25">
      <c r="B16" s="26"/>
      <c r="C16" s="27"/>
      <c r="D16" s="27"/>
      <c r="E16" s="27"/>
      <c r="F16" s="27"/>
      <c r="G16" s="27"/>
      <c r="H16" s="28"/>
      <c r="I16" s="13"/>
      <c r="J16" s="57"/>
      <c r="K16" s="58"/>
      <c r="L16" s="27"/>
      <c r="M16" s="27"/>
      <c r="N16" s="28"/>
      <c r="O16" s="10"/>
    </row>
    <row r="17" spans="2:15" ht="13.9" customHeight="1" x14ac:dyDescent="0.2">
      <c r="B17" s="10"/>
      <c r="C17" s="10"/>
      <c r="D17" s="10"/>
      <c r="E17" s="10"/>
      <c r="F17" s="10"/>
      <c r="G17" s="10"/>
      <c r="H17" s="10"/>
      <c r="I17" s="13"/>
      <c r="J17" s="59"/>
      <c r="K17" s="22"/>
      <c r="L17" s="10"/>
      <c r="M17" s="10"/>
      <c r="N17" s="10"/>
      <c r="O17" s="10"/>
    </row>
    <row r="18" spans="2:15" ht="13.9" customHeight="1" thickBot="1" x14ac:dyDescent="0.25">
      <c r="B18" s="31"/>
      <c r="C18" s="258" t="s">
        <v>74</v>
      </c>
      <c r="D18" s="258"/>
      <c r="E18" s="258"/>
      <c r="F18" s="258"/>
      <c r="G18" s="258"/>
      <c r="H18" s="258"/>
      <c r="I18" s="258"/>
      <c r="J18" s="258"/>
      <c r="K18" s="258"/>
      <c r="L18" s="258"/>
      <c r="M18" s="258"/>
    </row>
    <row r="19" spans="2:15" ht="13.9" customHeight="1" x14ac:dyDescent="0.2">
      <c r="B19" s="4"/>
      <c r="C19" s="32"/>
      <c r="D19" s="32"/>
      <c r="E19" s="33" t="s">
        <v>77</v>
      </c>
      <c r="F19" s="33"/>
      <c r="G19" s="33" t="s">
        <v>80</v>
      </c>
      <c r="H19" s="33"/>
      <c r="I19" s="33"/>
      <c r="J19" s="33"/>
      <c r="K19" s="259" t="s">
        <v>81</v>
      </c>
      <c r="L19" s="259"/>
      <c r="M19" s="259"/>
      <c r="N19" s="34"/>
    </row>
    <row r="20" spans="2:15" ht="13.9" customHeight="1" x14ac:dyDescent="0.2">
      <c r="B20" s="15"/>
      <c r="C20" s="10" t="s">
        <v>75</v>
      </c>
      <c r="D20" s="9"/>
      <c r="E20" s="35" t="s">
        <v>78</v>
      </c>
      <c r="F20" s="35"/>
      <c r="G20" s="35" t="s">
        <v>3</v>
      </c>
      <c r="H20" s="35"/>
      <c r="I20" s="35"/>
      <c r="J20" s="35"/>
      <c r="K20" s="35" t="s">
        <v>82</v>
      </c>
      <c r="L20" s="35" t="s">
        <v>84</v>
      </c>
      <c r="M20" s="35" t="s">
        <v>9</v>
      </c>
      <c r="N20" s="36"/>
    </row>
    <row r="21" spans="2:15" ht="13.9" customHeight="1" thickBot="1" x14ac:dyDescent="0.25">
      <c r="B21" s="15"/>
      <c r="C21" s="27" t="s">
        <v>76</v>
      </c>
      <c r="D21" s="37" t="s">
        <v>60</v>
      </c>
      <c r="E21" s="38" t="s">
        <v>79</v>
      </c>
      <c r="F21" s="38"/>
      <c r="G21" s="38" t="s">
        <v>86</v>
      </c>
      <c r="H21" s="38"/>
      <c r="I21" s="38"/>
      <c r="J21" s="38"/>
      <c r="K21" s="38" t="s">
        <v>83</v>
      </c>
      <c r="L21" s="38" t="s">
        <v>85</v>
      </c>
      <c r="M21" s="38" t="s">
        <v>85</v>
      </c>
      <c r="N21" s="36"/>
    </row>
    <row r="22" spans="2:15" ht="4.9000000000000004" customHeight="1" x14ac:dyDescent="0.2">
      <c r="B22" s="15"/>
      <c r="C22" s="10"/>
      <c r="D22" s="9"/>
      <c r="E22" s="35"/>
      <c r="F22" s="35"/>
      <c r="G22" s="35"/>
      <c r="H22" s="35"/>
      <c r="I22" s="35"/>
      <c r="J22" s="35"/>
      <c r="K22" s="35"/>
      <c r="L22" s="35"/>
      <c r="M22" s="35"/>
      <c r="N22" s="36"/>
    </row>
    <row r="23" spans="2:15" ht="13.9" customHeight="1" x14ac:dyDescent="0.2">
      <c r="B23" s="15"/>
      <c r="C23" s="10" t="s">
        <v>160</v>
      </c>
      <c r="D23" s="199">
        <f>'Assumptions + Income'!D29</f>
        <v>90</v>
      </c>
      <c r="E23" s="106">
        <f>'Assumptions + Income'!E29</f>
        <v>700</v>
      </c>
      <c r="F23" s="204"/>
      <c r="G23" s="205">
        <f>'Assumptions + Income'!G29</f>
        <v>350</v>
      </c>
      <c r="H23" s="206"/>
      <c r="I23" s="206"/>
      <c r="J23" s="206"/>
      <c r="K23" s="207">
        <f>E23*(G23/100)</f>
        <v>2450</v>
      </c>
      <c r="L23" s="208">
        <f>K23*D23</f>
        <v>220500</v>
      </c>
      <c r="M23" s="207">
        <f t="shared" ref="M23:M28" si="0">L23/$G$8</f>
        <v>1102.5</v>
      </c>
      <c r="N23" s="43"/>
    </row>
    <row r="24" spans="2:15" ht="13.9" customHeight="1" x14ac:dyDescent="0.2">
      <c r="B24" s="15"/>
      <c r="C24" s="10" t="s">
        <v>161</v>
      </c>
      <c r="D24" s="199">
        <f>'Assumptions + Income'!D30</f>
        <v>50</v>
      </c>
      <c r="E24" s="106">
        <f>'Assumptions + Income'!E30</f>
        <v>650</v>
      </c>
      <c r="F24" s="204"/>
      <c r="G24" s="205">
        <f>'Assumptions + Income'!G30</f>
        <v>325</v>
      </c>
      <c r="H24" s="206"/>
      <c r="I24" s="206"/>
      <c r="J24" s="206"/>
      <c r="K24" s="207">
        <f>E24*(G24/100)</f>
        <v>2112.5</v>
      </c>
      <c r="L24" s="208">
        <f>K24*D24</f>
        <v>105625</v>
      </c>
      <c r="M24" s="207">
        <f t="shared" si="0"/>
        <v>528.125</v>
      </c>
      <c r="N24" s="43"/>
    </row>
    <row r="25" spans="2:15" ht="13.9" customHeight="1" x14ac:dyDescent="0.2">
      <c r="B25" s="15"/>
      <c r="C25" s="10" t="s">
        <v>95</v>
      </c>
      <c r="D25" s="199">
        <f>'Assumptions + Income'!D31</f>
        <v>10</v>
      </c>
      <c r="E25" s="106">
        <f>'Assumptions + Income'!E31</f>
        <v>650</v>
      </c>
      <c r="F25" s="204"/>
      <c r="G25" s="205">
        <f>'Assumptions + Income'!G31</f>
        <v>325</v>
      </c>
      <c r="H25" s="206"/>
      <c r="I25" s="206"/>
      <c r="J25" s="206"/>
      <c r="K25" s="207">
        <f>E25*(G25/100)</f>
        <v>2112.5</v>
      </c>
      <c r="L25" s="208">
        <f>K25*D25</f>
        <v>21125</v>
      </c>
      <c r="M25" s="207">
        <f t="shared" si="0"/>
        <v>105.625</v>
      </c>
      <c r="N25" s="43"/>
    </row>
    <row r="26" spans="2:15" ht="13.9" customHeight="1" x14ac:dyDescent="0.2">
      <c r="B26" s="15"/>
      <c r="C26" s="10" t="s">
        <v>72</v>
      </c>
      <c r="D26" s="199">
        <f>'Assumptions + Income'!D32</f>
        <v>20</v>
      </c>
      <c r="E26" s="106">
        <f>'Assumptions + Income'!E32</f>
        <v>1250</v>
      </c>
      <c r="F26" s="204"/>
      <c r="G26" s="205">
        <f>'Assumptions + Income'!G32</f>
        <v>168</v>
      </c>
      <c r="H26" s="206"/>
      <c r="I26" s="206"/>
      <c r="J26" s="206"/>
      <c r="K26" s="207">
        <f>E26*(G26/100)</f>
        <v>2100</v>
      </c>
      <c r="L26" s="208">
        <f>K26*D26</f>
        <v>42000</v>
      </c>
      <c r="M26" s="207">
        <f t="shared" si="0"/>
        <v>210</v>
      </c>
      <c r="N26" s="43"/>
    </row>
    <row r="27" spans="2:15" ht="13.9" customHeight="1" x14ac:dyDescent="0.2">
      <c r="B27" s="15"/>
      <c r="C27" s="10" t="s">
        <v>73</v>
      </c>
      <c r="D27" s="199">
        <f>'Assumptions + Income'!D33</f>
        <v>1</v>
      </c>
      <c r="E27" s="106">
        <f>'Assumptions + Income'!E33</f>
        <v>2100</v>
      </c>
      <c r="F27" s="204"/>
      <c r="G27" s="205">
        <f>'Assumptions + Income'!G33</f>
        <v>120</v>
      </c>
      <c r="H27" s="206"/>
      <c r="I27" s="206"/>
      <c r="J27" s="206"/>
      <c r="K27" s="207">
        <f>E27*(G27/100)</f>
        <v>2520</v>
      </c>
      <c r="L27" s="208">
        <f>K27*D27</f>
        <v>2520</v>
      </c>
      <c r="M27" s="207">
        <f t="shared" si="0"/>
        <v>12.6</v>
      </c>
      <c r="N27" s="43"/>
    </row>
    <row r="28" spans="2:15" ht="13.9" customHeight="1" x14ac:dyDescent="0.2">
      <c r="B28" s="15"/>
      <c r="C28" s="10" t="s">
        <v>62</v>
      </c>
      <c r="D28" s="199"/>
      <c r="E28" s="199"/>
      <c r="F28" s="199"/>
      <c r="G28" s="199"/>
      <c r="H28" s="206"/>
      <c r="I28" s="206"/>
      <c r="J28" s="206"/>
      <c r="K28" s="207"/>
      <c r="L28" s="106">
        <v>0</v>
      </c>
      <c r="M28" s="207">
        <f t="shared" si="0"/>
        <v>0</v>
      </c>
      <c r="N28" s="43"/>
    </row>
    <row r="29" spans="2:15" ht="4.9000000000000004" customHeight="1" thickBot="1" x14ac:dyDescent="0.25">
      <c r="B29" s="15"/>
      <c r="C29" s="67"/>
      <c r="D29" s="209"/>
      <c r="E29" s="210"/>
      <c r="F29" s="211"/>
      <c r="G29" s="212"/>
      <c r="H29" s="213"/>
      <c r="I29" s="213"/>
      <c r="J29" s="213"/>
      <c r="K29" s="214"/>
      <c r="L29" s="215"/>
      <c r="M29" s="214"/>
      <c r="N29" s="43"/>
    </row>
    <row r="30" spans="2:15" ht="13.9" customHeight="1" thickTop="1" thickBot="1" x14ac:dyDescent="0.25">
      <c r="B30" s="26"/>
      <c r="C30" s="244" t="s">
        <v>71</v>
      </c>
      <c r="D30" s="245"/>
      <c r="E30" s="246"/>
      <c r="F30" s="246"/>
      <c r="G30" s="246"/>
      <c r="H30" s="246"/>
      <c r="I30" s="246"/>
      <c r="J30" s="246"/>
      <c r="K30" s="246"/>
      <c r="L30" s="247">
        <f>SUM(L23:L29)</f>
        <v>391770</v>
      </c>
      <c r="M30" s="248">
        <f>SUM(M23:M29)</f>
        <v>1958.85</v>
      </c>
      <c r="N30" s="49"/>
    </row>
    <row r="31" spans="2:15" ht="13.9" customHeight="1" x14ac:dyDescent="0.2"/>
    <row r="32" spans="2:15" ht="13.9" customHeight="1" thickBot="1" x14ac:dyDescent="0.25">
      <c r="C32" s="31" t="s">
        <v>132</v>
      </c>
    </row>
    <row r="33" spans="2:14" ht="13.9" customHeight="1" x14ac:dyDescent="0.2">
      <c r="B33" s="4"/>
      <c r="C33" s="131"/>
      <c r="D33" s="131"/>
      <c r="E33" s="131"/>
      <c r="F33" s="131"/>
      <c r="G33" s="131"/>
      <c r="H33" s="131"/>
      <c r="I33" s="131"/>
      <c r="J33" s="131"/>
      <c r="K33" s="131"/>
      <c r="L33" s="132" t="s">
        <v>131</v>
      </c>
      <c r="M33" s="132" t="s">
        <v>130</v>
      </c>
      <c r="N33" s="61"/>
    </row>
    <row r="34" spans="2:14" ht="13.9" customHeight="1" x14ac:dyDescent="0.2">
      <c r="B34" s="15"/>
      <c r="C34" s="10" t="s">
        <v>143</v>
      </c>
      <c r="D34" s="10"/>
      <c r="E34" s="10"/>
      <c r="F34" s="10"/>
      <c r="G34" s="10"/>
      <c r="H34" s="10"/>
      <c r="I34" s="10"/>
      <c r="J34" s="10"/>
      <c r="K34" s="10"/>
      <c r="L34" s="128">
        <f>'Cow Carrying Costs'!I14+'Cow Carrying Costs'!I25</f>
        <v>133793</v>
      </c>
      <c r="M34" s="129">
        <f>L34/$G$8</f>
        <v>668.96500000000003</v>
      </c>
      <c r="N34" s="55"/>
    </row>
    <row r="35" spans="2:14" ht="13.9" customHeight="1" x14ac:dyDescent="0.2">
      <c r="B35" s="15"/>
      <c r="C35" s="10" t="s">
        <v>101</v>
      </c>
      <c r="D35" s="10"/>
      <c r="E35" s="10"/>
      <c r="F35" s="10"/>
      <c r="G35" s="10"/>
      <c r="H35" s="10"/>
      <c r="I35" s="10"/>
      <c r="J35" s="10"/>
      <c r="K35" s="10"/>
      <c r="L35" s="128">
        <f>'Cow Carrying Costs'!I37</f>
        <v>0</v>
      </c>
      <c r="M35" s="129">
        <f t="shared" ref="M35:M41" si="1">L35/$G$8</f>
        <v>0</v>
      </c>
      <c r="N35" s="55"/>
    </row>
    <row r="36" spans="2:14" ht="13.9" customHeight="1" x14ac:dyDescent="0.2">
      <c r="B36" s="15"/>
      <c r="C36" s="10" t="s">
        <v>133</v>
      </c>
      <c r="D36" s="10"/>
      <c r="E36" s="10"/>
      <c r="F36" s="10"/>
      <c r="G36" s="10"/>
      <c r="H36" s="10"/>
      <c r="I36" s="10"/>
      <c r="J36" s="10"/>
      <c r="K36" s="10"/>
      <c r="L36" s="128">
        <f>'Cow Carrying Costs'!I52</f>
        <v>23372</v>
      </c>
      <c r="M36" s="129">
        <f t="shared" si="1"/>
        <v>116.86</v>
      </c>
      <c r="N36" s="55"/>
    </row>
    <row r="37" spans="2:14" ht="13.9" customHeight="1" x14ac:dyDescent="0.2">
      <c r="B37" s="15"/>
      <c r="C37" s="10" t="s">
        <v>34</v>
      </c>
      <c r="D37" s="10"/>
      <c r="E37" s="10"/>
      <c r="F37" s="10"/>
      <c r="G37" s="10"/>
      <c r="H37" s="10"/>
      <c r="I37" s="10"/>
      <c r="J37" s="10"/>
      <c r="K37" s="10"/>
      <c r="L37" s="128">
        <f>'Cow Carrying Costs'!I63</f>
        <v>11400</v>
      </c>
      <c r="M37" s="129">
        <f t="shared" si="1"/>
        <v>57</v>
      </c>
      <c r="N37" s="55"/>
    </row>
    <row r="38" spans="2:14" ht="13.9" customHeight="1" x14ac:dyDescent="0.2">
      <c r="B38" s="15"/>
      <c r="C38" s="10" t="s">
        <v>39</v>
      </c>
      <c r="D38" s="10"/>
      <c r="E38" s="10"/>
      <c r="F38" s="10"/>
      <c r="G38" s="10"/>
      <c r="H38" s="10"/>
      <c r="I38" s="10"/>
      <c r="J38" s="10"/>
      <c r="K38" s="10"/>
      <c r="L38" s="128">
        <f>'Cow Carrying Costs'!I78</f>
        <v>11016.800000000001</v>
      </c>
      <c r="M38" s="129">
        <f t="shared" si="1"/>
        <v>55.084000000000003</v>
      </c>
      <c r="N38" s="55"/>
    </row>
    <row r="39" spans="2:14" ht="13.9" customHeight="1" x14ac:dyDescent="0.2">
      <c r="B39" s="15"/>
      <c r="C39" s="10" t="s">
        <v>100</v>
      </c>
      <c r="D39" s="10"/>
      <c r="E39" s="10"/>
      <c r="F39" s="10"/>
      <c r="G39" s="10"/>
      <c r="H39" s="10"/>
      <c r="I39" s="10"/>
      <c r="J39" s="10"/>
      <c r="K39" s="10"/>
      <c r="L39" s="128">
        <f>'Cow Carrying Costs'!I90</f>
        <v>10000</v>
      </c>
      <c r="M39" s="129">
        <f t="shared" si="1"/>
        <v>50</v>
      </c>
      <c r="N39" s="55"/>
    </row>
    <row r="40" spans="2:14" ht="13.9" customHeight="1" x14ac:dyDescent="0.2">
      <c r="B40" s="15"/>
      <c r="C40" s="10" t="s">
        <v>52</v>
      </c>
      <c r="D40" s="10"/>
      <c r="E40" s="10"/>
      <c r="F40" s="10"/>
      <c r="G40" s="10"/>
      <c r="H40" s="10"/>
      <c r="I40" s="10"/>
      <c r="J40" s="10"/>
      <c r="K40" s="10"/>
      <c r="L40" s="128">
        <f>'Cow Carrying Costs'!I104</f>
        <v>75000</v>
      </c>
      <c r="M40" s="129">
        <f t="shared" si="1"/>
        <v>375</v>
      </c>
      <c r="N40" s="55"/>
    </row>
    <row r="41" spans="2:14" ht="13.9" customHeight="1" x14ac:dyDescent="0.2">
      <c r="B41" s="15"/>
      <c r="C41" s="10" t="s">
        <v>64</v>
      </c>
      <c r="D41" s="10"/>
      <c r="E41" s="10"/>
      <c r="F41" s="10"/>
      <c r="G41" s="10"/>
      <c r="H41" s="10"/>
      <c r="I41" s="10"/>
      <c r="J41" s="10"/>
      <c r="K41" s="10"/>
      <c r="L41" s="128">
        <f>'Cow Carrying Costs'!I115</f>
        <v>10913.999250000001</v>
      </c>
      <c r="M41" s="129">
        <f t="shared" si="1"/>
        <v>54.569996250000003</v>
      </c>
      <c r="N41" s="55"/>
    </row>
    <row r="42" spans="2:14" ht="4.9000000000000004" customHeight="1" thickBot="1" x14ac:dyDescent="0.25">
      <c r="B42" s="15"/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44"/>
      <c r="N42" s="55"/>
    </row>
    <row r="43" spans="2:14" ht="13.9" customHeight="1" thickTop="1" thickBot="1" x14ac:dyDescent="0.25">
      <c r="B43" s="26"/>
      <c r="C43" s="133" t="s">
        <v>134</v>
      </c>
      <c r="D43" s="133"/>
      <c r="E43" s="133"/>
      <c r="F43" s="133"/>
      <c r="G43" s="133"/>
      <c r="H43" s="133"/>
      <c r="I43" s="133"/>
      <c r="J43" s="133"/>
      <c r="K43" s="133"/>
      <c r="L43" s="134">
        <f>SUM(L34:L42)</f>
        <v>275495.79924999998</v>
      </c>
      <c r="M43" s="135">
        <f>SUM(M34:M42)</f>
        <v>1377.4789962500001</v>
      </c>
      <c r="N43" s="28"/>
    </row>
    <row r="44" spans="2:14" ht="13.9" customHeight="1" x14ac:dyDescent="0.2"/>
    <row r="45" spans="2:14" ht="13.9" customHeight="1" thickBot="1" x14ac:dyDescent="0.25">
      <c r="C45" s="31" t="s">
        <v>135</v>
      </c>
    </row>
    <row r="46" spans="2:14" ht="13.9" customHeight="1" x14ac:dyDescent="0.2">
      <c r="B46" s="4"/>
      <c r="C46" s="131"/>
      <c r="D46" s="131"/>
      <c r="E46" s="131"/>
      <c r="F46" s="131"/>
      <c r="G46" s="131"/>
      <c r="H46" s="131"/>
      <c r="I46" s="131"/>
      <c r="J46" s="131"/>
      <c r="K46" s="131"/>
      <c r="L46" s="132" t="s">
        <v>131</v>
      </c>
      <c r="M46" s="132" t="s">
        <v>130</v>
      </c>
      <c r="N46" s="61"/>
    </row>
    <row r="47" spans="2:14" ht="13.9" customHeight="1" x14ac:dyDescent="0.2">
      <c r="B47" s="15"/>
      <c r="C47" s="10" t="s">
        <v>102</v>
      </c>
      <c r="D47" s="10"/>
      <c r="E47" s="10"/>
      <c r="F47" s="10"/>
      <c r="G47" s="10"/>
      <c r="H47" s="10"/>
      <c r="I47" s="10"/>
      <c r="J47" s="10"/>
      <c r="K47" s="10"/>
      <c r="L47" s="128">
        <f>L30</f>
        <v>391770</v>
      </c>
      <c r="M47" s="129">
        <f>M30</f>
        <v>1958.85</v>
      </c>
      <c r="N47" s="55"/>
    </row>
    <row r="48" spans="2:14" ht="13.9" customHeight="1" x14ac:dyDescent="0.2">
      <c r="B48" s="15"/>
      <c r="C48" s="10" t="s">
        <v>134</v>
      </c>
      <c r="D48" s="10"/>
      <c r="E48" s="10"/>
      <c r="F48" s="10"/>
      <c r="G48" s="10"/>
      <c r="H48" s="10"/>
      <c r="I48" s="10"/>
      <c r="J48" s="10"/>
      <c r="K48" s="10"/>
      <c r="L48" s="128">
        <f>L43</f>
        <v>275495.79924999998</v>
      </c>
      <c r="M48" s="129">
        <f>M43</f>
        <v>1377.4789962500001</v>
      </c>
      <c r="N48" s="55"/>
    </row>
    <row r="49" spans="2:17" ht="13.9" customHeight="1" x14ac:dyDescent="0.2">
      <c r="B49" s="15"/>
      <c r="C49" s="10" t="s">
        <v>156</v>
      </c>
      <c r="D49" s="10"/>
      <c r="E49" s="10"/>
      <c r="F49" s="10"/>
      <c r="G49" s="10"/>
      <c r="H49" s="10"/>
      <c r="I49" s="10"/>
      <c r="J49" s="10"/>
      <c r="K49" s="10"/>
      <c r="L49" s="128">
        <f>'Cow Carrying Costs'!I131</f>
        <v>60800</v>
      </c>
      <c r="M49" s="129">
        <f>'Cow Carrying Costs'!H131</f>
        <v>304</v>
      </c>
      <c r="N49" s="55"/>
    </row>
    <row r="50" spans="2:17" ht="13.9" customHeight="1" x14ac:dyDescent="0.2">
      <c r="B50" s="15"/>
      <c r="C50" s="10" t="s">
        <v>198</v>
      </c>
      <c r="D50" s="10"/>
      <c r="E50" s="10"/>
      <c r="F50" s="10"/>
      <c r="G50" s="10"/>
      <c r="H50" s="10"/>
      <c r="I50" s="10"/>
      <c r="J50" s="10"/>
      <c r="K50" s="10"/>
      <c r="L50" s="128">
        <f>'Cow Carrying Costs'!I125</f>
        <v>7200</v>
      </c>
      <c r="M50" s="129">
        <f>L50/G8</f>
        <v>36</v>
      </c>
      <c r="N50" s="55"/>
    </row>
    <row r="51" spans="2:17" ht="4.9000000000000004" customHeight="1" thickBot="1" x14ac:dyDescent="0.25">
      <c r="B51" s="15"/>
      <c r="C51" s="44"/>
      <c r="D51" s="44"/>
      <c r="E51" s="44"/>
      <c r="F51" s="44"/>
      <c r="G51" s="44"/>
      <c r="H51" s="44"/>
      <c r="I51" s="44"/>
      <c r="J51" s="44"/>
      <c r="K51" s="44"/>
      <c r="L51" s="44"/>
      <c r="M51" s="44"/>
      <c r="N51" s="55"/>
    </row>
    <row r="52" spans="2:17" ht="13.9" customHeight="1" thickTop="1" thickBot="1" x14ac:dyDescent="0.25">
      <c r="B52" s="26"/>
      <c r="C52" s="250" t="s">
        <v>136</v>
      </c>
      <c r="D52" s="250"/>
      <c r="E52" s="250"/>
      <c r="F52" s="250"/>
      <c r="G52" s="250"/>
      <c r="H52" s="250"/>
      <c r="I52" s="250"/>
      <c r="J52" s="250"/>
      <c r="K52" s="250"/>
      <c r="L52" s="251">
        <f>L47-L48-L49-L50</f>
        <v>48274.200750000018</v>
      </c>
      <c r="M52" s="252">
        <f>M47-M48-M49-M50</f>
        <v>241.37100374999977</v>
      </c>
      <c r="N52" s="28"/>
    </row>
    <row r="53" spans="2:17" ht="15" customHeight="1" thickBot="1" x14ac:dyDescent="0.25"/>
    <row r="54" spans="2:17" ht="15" customHeight="1" thickBot="1" x14ac:dyDescent="0.25">
      <c r="B54" s="191"/>
      <c r="C54" s="192" t="s">
        <v>151</v>
      </c>
      <c r="D54" s="193"/>
      <c r="E54" s="193"/>
      <c r="F54" s="193"/>
      <c r="G54" s="193"/>
      <c r="H54" s="193"/>
      <c r="I54" s="193"/>
      <c r="J54" s="193"/>
      <c r="K54" s="193"/>
      <c r="L54" s="193"/>
      <c r="M54" s="194">
        <f>M48+M49+M51</f>
        <v>1681.4789962500001</v>
      </c>
      <c r="N54" s="195"/>
      <c r="Q54" s="197"/>
    </row>
    <row r="56" spans="2:17" ht="15" customHeight="1" thickBot="1" x14ac:dyDescent="0.25">
      <c r="C56" s="187" t="s">
        <v>162</v>
      </c>
      <c r="D56" s="10"/>
      <c r="E56" s="10"/>
      <c r="F56" s="10"/>
      <c r="G56" s="10"/>
      <c r="H56" s="10"/>
      <c r="I56" s="10"/>
      <c r="J56" s="10"/>
      <c r="K56" s="188"/>
    </row>
    <row r="57" spans="2:17" ht="12" customHeight="1" x14ac:dyDescent="0.2">
      <c r="B57" s="216"/>
      <c r="C57" s="217" t="s">
        <v>90</v>
      </c>
      <c r="D57" s="217" t="s">
        <v>163</v>
      </c>
      <c r="E57" s="268" t="s">
        <v>103</v>
      </c>
      <c r="F57" s="268"/>
      <c r="G57" s="268"/>
      <c r="H57" s="268"/>
      <c r="I57" s="268"/>
      <c r="J57" s="268"/>
      <c r="K57" s="268"/>
      <c r="L57" s="268"/>
      <c r="M57" s="268"/>
      <c r="N57" s="218"/>
    </row>
    <row r="58" spans="2:17" ht="12" customHeight="1" thickBot="1" x14ac:dyDescent="0.25">
      <c r="B58" s="219"/>
      <c r="C58" s="220" t="s">
        <v>91</v>
      </c>
      <c r="D58" s="220" t="s">
        <v>61</v>
      </c>
      <c r="E58" s="260">
        <f>K58-200</f>
        <v>1481.4789962500001</v>
      </c>
      <c r="F58" s="260"/>
      <c r="G58" s="221">
        <f>K58-100</f>
        <v>1581.4789962500001</v>
      </c>
      <c r="H58" s="260"/>
      <c r="I58" s="260"/>
      <c r="J58" s="221"/>
      <c r="K58" s="221">
        <f>M54</f>
        <v>1681.4789962500001</v>
      </c>
      <c r="L58" s="221">
        <f>K58+100</f>
        <v>1781.4789962500001</v>
      </c>
      <c r="M58" s="221">
        <f>K58+200</f>
        <v>1881.4789962500001</v>
      </c>
      <c r="N58" s="222"/>
    </row>
    <row r="59" spans="2:17" ht="12" customHeight="1" x14ac:dyDescent="0.2">
      <c r="B59" s="219"/>
      <c r="C59" s="263">
        <v>0.75</v>
      </c>
      <c r="D59" s="223">
        <v>400</v>
      </c>
      <c r="E59" s="269">
        <f>E$58/($C$59*$D59)</f>
        <v>4.9382633208333342</v>
      </c>
      <c r="F59" s="269"/>
      <c r="G59" s="224">
        <f>G$58/($C$59*$D59)</f>
        <v>5.2715966541666672</v>
      </c>
      <c r="H59" s="225"/>
      <c r="I59" s="225"/>
      <c r="J59" s="224"/>
      <c r="K59" s="224">
        <f t="shared" ref="K59:M61" si="2">K$58/($C$59*$D59)</f>
        <v>5.6049299875000003</v>
      </c>
      <c r="L59" s="224">
        <f t="shared" si="2"/>
        <v>5.9382633208333342</v>
      </c>
      <c r="M59" s="224">
        <f t="shared" si="2"/>
        <v>6.2715966541666672</v>
      </c>
      <c r="N59" s="222"/>
    </row>
    <row r="60" spans="2:17" ht="12" customHeight="1" x14ac:dyDescent="0.2">
      <c r="B60" s="219"/>
      <c r="C60" s="263"/>
      <c r="D60" s="223">
        <v>500</v>
      </c>
      <c r="E60" s="269">
        <f>E$58/($C$59*$D60)</f>
        <v>3.950610656666667</v>
      </c>
      <c r="F60" s="269"/>
      <c r="G60" s="224">
        <f>G$58/($C$59*$D60)</f>
        <v>4.2172773233333336</v>
      </c>
      <c r="H60" s="226"/>
      <c r="I60" s="226"/>
      <c r="J60" s="224"/>
      <c r="K60" s="224">
        <f t="shared" si="2"/>
        <v>4.4839439900000002</v>
      </c>
      <c r="L60" s="224">
        <f t="shared" si="2"/>
        <v>4.7506106566666668</v>
      </c>
      <c r="M60" s="224">
        <f t="shared" si="2"/>
        <v>5.0172773233333334</v>
      </c>
      <c r="N60" s="222"/>
    </row>
    <row r="61" spans="2:17" ht="12" customHeight="1" x14ac:dyDescent="0.2">
      <c r="B61" s="219"/>
      <c r="C61" s="264"/>
      <c r="D61" s="227">
        <v>600</v>
      </c>
      <c r="E61" s="269">
        <f>E$58/($C$59*$D61)</f>
        <v>3.2921755472222225</v>
      </c>
      <c r="F61" s="269"/>
      <c r="G61" s="224">
        <f>G$58/($C$59*$D61)</f>
        <v>3.5143977694444448</v>
      </c>
      <c r="H61" s="228"/>
      <c r="I61" s="228"/>
      <c r="J61" s="229"/>
      <c r="K61" s="224">
        <f t="shared" si="2"/>
        <v>3.7366199916666671</v>
      </c>
      <c r="L61" s="224">
        <f t="shared" si="2"/>
        <v>3.958842213888889</v>
      </c>
      <c r="M61" s="230">
        <f t="shared" si="2"/>
        <v>4.1810644361111118</v>
      </c>
      <c r="N61" s="222"/>
    </row>
    <row r="62" spans="2:17" ht="12" customHeight="1" x14ac:dyDescent="0.2">
      <c r="B62" s="219"/>
      <c r="C62" s="265">
        <v>0.8</v>
      </c>
      <c r="D62" s="223">
        <v>400</v>
      </c>
      <c r="E62" s="270">
        <f>E$58/($C$62*$D62)</f>
        <v>4.6296218632812502</v>
      </c>
      <c r="F62" s="270"/>
      <c r="G62" s="231">
        <f>G$58/($C$62*$D62)</f>
        <v>4.9421218632812502</v>
      </c>
      <c r="H62" s="232"/>
      <c r="I62" s="232"/>
      <c r="J62" s="233"/>
      <c r="K62" s="231">
        <f t="shared" ref="K62:M64" si="3">K$58/($C$62*$D62)</f>
        <v>5.2546218632812502</v>
      </c>
      <c r="L62" s="231">
        <f t="shared" si="3"/>
        <v>5.5671218632812502</v>
      </c>
      <c r="M62" s="224">
        <f t="shared" si="3"/>
        <v>5.8796218632812502</v>
      </c>
      <c r="N62" s="222"/>
    </row>
    <row r="63" spans="2:17" ht="12" customHeight="1" x14ac:dyDescent="0.2">
      <c r="B63" s="219"/>
      <c r="C63" s="265"/>
      <c r="D63" s="223">
        <v>500</v>
      </c>
      <c r="E63" s="269">
        <f>E$58/($C$62*$D63)</f>
        <v>3.7036974906250002</v>
      </c>
      <c r="F63" s="269"/>
      <c r="G63" s="224">
        <f>G$58/($C$62*$D63)</f>
        <v>3.9536974906250002</v>
      </c>
      <c r="H63" s="226"/>
      <c r="I63" s="226"/>
      <c r="J63" s="229"/>
      <c r="K63" s="224">
        <f t="shared" si="3"/>
        <v>4.2036974906250002</v>
      </c>
      <c r="L63" s="224">
        <f t="shared" si="3"/>
        <v>4.4536974906250002</v>
      </c>
      <c r="M63" s="224">
        <f t="shared" si="3"/>
        <v>4.7036974906250002</v>
      </c>
      <c r="N63" s="222"/>
    </row>
    <row r="64" spans="2:17" ht="12" customHeight="1" x14ac:dyDescent="0.2">
      <c r="B64" s="219"/>
      <c r="C64" s="265"/>
      <c r="D64" s="234">
        <v>600</v>
      </c>
      <c r="E64" s="271">
        <f>E$58/($C$62*$D64)</f>
        <v>3.0864145755208336</v>
      </c>
      <c r="F64" s="271"/>
      <c r="G64" s="230">
        <f>G$58/($C$62*$D64)</f>
        <v>3.2947479088541671</v>
      </c>
      <c r="H64" s="228"/>
      <c r="I64" s="228"/>
      <c r="J64" s="229"/>
      <c r="K64" s="224">
        <f t="shared" si="3"/>
        <v>3.5030812421875002</v>
      </c>
      <c r="L64" s="224">
        <f t="shared" si="3"/>
        <v>3.7114145755208336</v>
      </c>
      <c r="M64" s="224">
        <f t="shared" si="3"/>
        <v>3.9197479088541671</v>
      </c>
      <c r="N64" s="222"/>
    </row>
    <row r="65" spans="2:14" ht="12" customHeight="1" x14ac:dyDescent="0.2">
      <c r="B65" s="219"/>
      <c r="C65" s="263">
        <v>0.9</v>
      </c>
      <c r="D65" s="223">
        <v>400</v>
      </c>
      <c r="E65" s="270">
        <f>E$58/($C$65*$D65)</f>
        <v>4.1152194340277779</v>
      </c>
      <c r="F65" s="270"/>
      <c r="G65" s="224">
        <f>G$58/($C$65*$D65)</f>
        <v>4.3929972118055556</v>
      </c>
      <c r="H65" s="232"/>
      <c r="I65" s="232"/>
      <c r="J65" s="233"/>
      <c r="K65" s="231">
        <f t="shared" ref="K65:M67" si="4">K$58/($C$65*$D65)</f>
        <v>4.6707749895833341</v>
      </c>
      <c r="L65" s="231">
        <f t="shared" si="4"/>
        <v>4.9485527673611118</v>
      </c>
      <c r="M65" s="224">
        <f t="shared" si="4"/>
        <v>5.2263305451388895</v>
      </c>
      <c r="N65" s="222"/>
    </row>
    <row r="66" spans="2:14" ht="12" customHeight="1" x14ac:dyDescent="0.2">
      <c r="B66" s="219"/>
      <c r="C66" s="263"/>
      <c r="D66" s="223">
        <v>500</v>
      </c>
      <c r="E66" s="269">
        <f>E$58/($C$65*$D66)</f>
        <v>3.2921755472222225</v>
      </c>
      <c r="F66" s="269"/>
      <c r="G66" s="224">
        <f>G$58/($C$65*$D66)</f>
        <v>3.5143977694444448</v>
      </c>
      <c r="H66" s="226"/>
      <c r="I66" s="226"/>
      <c r="J66" s="229"/>
      <c r="K66" s="224">
        <f t="shared" si="4"/>
        <v>3.7366199916666671</v>
      </c>
      <c r="L66" s="224">
        <f t="shared" si="4"/>
        <v>3.958842213888889</v>
      </c>
      <c r="M66" s="224">
        <f t="shared" si="4"/>
        <v>4.1810644361111118</v>
      </c>
      <c r="N66" s="222"/>
    </row>
    <row r="67" spans="2:14" ht="12" customHeight="1" x14ac:dyDescent="0.2">
      <c r="B67" s="219"/>
      <c r="C67" s="264"/>
      <c r="D67" s="227">
        <v>600</v>
      </c>
      <c r="E67" s="271">
        <f>E$58/($C$65*$D67)</f>
        <v>2.7434796226851854</v>
      </c>
      <c r="F67" s="271"/>
      <c r="G67" s="230">
        <f>G$58/($C$65*$D67)</f>
        <v>2.9286648078703705</v>
      </c>
      <c r="H67" s="230"/>
      <c r="I67" s="229"/>
      <c r="J67" s="229"/>
      <c r="K67" s="224">
        <f t="shared" si="4"/>
        <v>3.1138499930555557</v>
      </c>
      <c r="L67" s="224">
        <f t="shared" si="4"/>
        <v>3.2990351782407408</v>
      </c>
      <c r="M67" s="224">
        <f t="shared" si="4"/>
        <v>3.4842203634259263</v>
      </c>
      <c r="N67" s="222"/>
    </row>
    <row r="68" spans="2:14" ht="12" customHeight="1" x14ac:dyDescent="0.2">
      <c r="B68" s="219"/>
      <c r="C68" s="266">
        <v>0.95</v>
      </c>
      <c r="D68" s="223">
        <v>400</v>
      </c>
      <c r="E68" s="269">
        <f>E$58/($C$68*$D68)</f>
        <v>3.8986289375000003</v>
      </c>
      <c r="F68" s="269"/>
      <c r="G68" s="224">
        <f>G$58/($C$68*$D68)</f>
        <v>4.1617868322368423</v>
      </c>
      <c r="H68" s="224"/>
      <c r="I68" s="233"/>
      <c r="J68" s="233"/>
      <c r="K68" s="231">
        <f t="shared" ref="K68:M70" si="5">K$58/($C$68*$D68)</f>
        <v>4.4249447269736848</v>
      </c>
      <c r="L68" s="231">
        <f t="shared" si="5"/>
        <v>4.6881026217105264</v>
      </c>
      <c r="M68" s="231">
        <f t="shared" si="5"/>
        <v>4.9512605164473689</v>
      </c>
      <c r="N68" s="222"/>
    </row>
    <row r="69" spans="2:14" ht="12" customHeight="1" x14ac:dyDescent="0.2">
      <c r="B69" s="219"/>
      <c r="C69" s="263"/>
      <c r="D69" s="223">
        <v>500</v>
      </c>
      <c r="E69" s="269">
        <f>E$58/($C$68*$D69)</f>
        <v>3.1189031500000004</v>
      </c>
      <c r="F69" s="269"/>
      <c r="G69" s="224">
        <f>G$58/($C$68*$D69)</f>
        <v>3.3294294657894739</v>
      </c>
      <c r="H69" s="224"/>
      <c r="I69" s="229"/>
      <c r="J69" s="229"/>
      <c r="K69" s="224">
        <f t="shared" si="5"/>
        <v>3.5399557815789477</v>
      </c>
      <c r="L69" s="224">
        <f t="shared" si="5"/>
        <v>3.7504820973684212</v>
      </c>
      <c r="M69" s="224">
        <f t="shared" si="5"/>
        <v>3.9610084131578951</v>
      </c>
      <c r="N69" s="222"/>
    </row>
    <row r="70" spans="2:14" ht="12" customHeight="1" x14ac:dyDescent="0.2">
      <c r="B70" s="219"/>
      <c r="C70" s="267"/>
      <c r="D70" s="234">
        <v>600</v>
      </c>
      <c r="E70" s="269">
        <f>E$58/($C$68*$D70)</f>
        <v>2.5990859583333337</v>
      </c>
      <c r="F70" s="269"/>
      <c r="G70" s="224">
        <f>G$58/($C$68*$D70)</f>
        <v>2.7745245548245618</v>
      </c>
      <c r="H70" s="230"/>
      <c r="I70" s="229"/>
      <c r="J70" s="229"/>
      <c r="K70" s="230">
        <f t="shared" si="5"/>
        <v>2.9499631513157896</v>
      </c>
      <c r="L70" s="224">
        <f t="shared" si="5"/>
        <v>3.1254017478070177</v>
      </c>
      <c r="M70" s="230">
        <f t="shared" si="5"/>
        <v>3.3008403442982459</v>
      </c>
      <c r="N70" s="222"/>
    </row>
    <row r="71" spans="2:14" ht="12" customHeight="1" thickBot="1" x14ac:dyDescent="0.25">
      <c r="B71" s="235"/>
      <c r="C71" s="236" t="s">
        <v>157</v>
      </c>
      <c r="D71" s="237"/>
      <c r="E71" s="238"/>
      <c r="F71" s="238"/>
      <c r="G71" s="238"/>
      <c r="H71" s="237"/>
      <c r="I71" s="238"/>
      <c r="J71" s="238"/>
      <c r="K71" s="239"/>
      <c r="L71" s="240"/>
      <c r="M71" s="241"/>
      <c r="N71" s="242"/>
    </row>
  </sheetData>
  <sheetProtection password="CA5F" sheet="1"/>
  <mergeCells count="24">
    <mergeCell ref="E63:F63"/>
    <mergeCell ref="E64:F64"/>
    <mergeCell ref="E69:F69"/>
    <mergeCell ref="E70:F70"/>
    <mergeCell ref="E65:F65"/>
    <mergeCell ref="E66:F66"/>
    <mergeCell ref="E67:F67"/>
    <mergeCell ref="E68:F68"/>
    <mergeCell ref="C59:C61"/>
    <mergeCell ref="C62:C64"/>
    <mergeCell ref="C65:C67"/>
    <mergeCell ref="C68:C70"/>
    <mergeCell ref="E57:M57"/>
    <mergeCell ref="E59:F59"/>
    <mergeCell ref="E58:F58"/>
    <mergeCell ref="E60:F60"/>
    <mergeCell ref="E61:F61"/>
    <mergeCell ref="E62:F62"/>
    <mergeCell ref="C2:K2"/>
    <mergeCell ref="C18:M18"/>
    <mergeCell ref="K19:M19"/>
    <mergeCell ref="H58:I58"/>
    <mergeCell ref="C6:G6"/>
    <mergeCell ref="K6:M6"/>
  </mergeCells>
  <printOptions horizontalCentered="1"/>
  <pageMargins left="0.75" right="0.75" top="1" bottom="1" header="0.5" footer="0.5"/>
  <pageSetup scale="97" fitToHeight="2" orientation="portrait" r:id="rId1"/>
  <headerFooter alignWithMargins="0"/>
  <rowBreaks count="1" manualBreakCount="1">
    <brk id="55" min="1" max="1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3FA9C1-7746-43CE-B683-BF8132CAA07E}">
  <dimension ref="B1:Q43"/>
  <sheetViews>
    <sheetView zoomScale="140" zoomScaleNormal="140" workbookViewId="0"/>
  </sheetViews>
  <sheetFormatPr defaultColWidth="8.85546875" defaultRowHeight="15" customHeight="1" x14ac:dyDescent="0.2"/>
  <cols>
    <col min="1" max="1" width="2.5703125" style="1" customWidth="1"/>
    <col min="2" max="2" width="0.85546875" style="1" customWidth="1"/>
    <col min="3" max="3" width="15.7109375" style="1" customWidth="1"/>
    <col min="4" max="4" width="10.7109375" style="1" customWidth="1"/>
    <col min="5" max="5" width="8.7109375" style="1" customWidth="1"/>
    <col min="6" max="6" width="1.7109375" style="1" customWidth="1"/>
    <col min="7" max="7" width="10.7109375" style="1" customWidth="1"/>
    <col min="8" max="8" width="0.85546875" style="1" customWidth="1"/>
    <col min="9" max="9" width="4.7109375" style="1" customWidth="1"/>
    <col min="10" max="10" width="0.85546875" style="1" customWidth="1"/>
    <col min="11" max="11" width="10.7109375" style="1" customWidth="1"/>
    <col min="12" max="12" width="13.7109375" style="1" customWidth="1"/>
    <col min="13" max="13" width="10.7109375" style="1" customWidth="1"/>
    <col min="14" max="14" width="0.85546875" style="1" customWidth="1"/>
    <col min="15" max="15" width="4.5703125" style="1" customWidth="1"/>
    <col min="16" max="16" width="1.7109375" style="1" customWidth="1"/>
    <col min="17" max="16384" width="8.85546875" style="1"/>
  </cols>
  <sheetData>
    <row r="1" spans="2:17" ht="19.899999999999999" customHeight="1" x14ac:dyDescent="0.2">
      <c r="C1" s="130" t="s">
        <v>128</v>
      </c>
      <c r="M1" s="126">
        <v>2025</v>
      </c>
    </row>
    <row r="2" spans="2:17" ht="19.899999999999999" customHeight="1" x14ac:dyDescent="0.2">
      <c r="C2" s="127" t="s">
        <v>129</v>
      </c>
    </row>
    <row r="3" spans="2:17" ht="4.9000000000000004" customHeight="1" thickBot="1" x14ac:dyDescent="0.25"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</row>
    <row r="4" spans="2:17" ht="13.9" customHeight="1" x14ac:dyDescent="0.2">
      <c r="Q4" s="31" t="s">
        <v>170</v>
      </c>
    </row>
    <row r="5" spans="2:17" ht="13.9" customHeight="1" thickBot="1" x14ac:dyDescent="0.25">
      <c r="C5" s="261" t="s">
        <v>92</v>
      </c>
      <c r="D5" s="261"/>
      <c r="E5" s="261"/>
      <c r="F5" s="261"/>
      <c r="G5" s="261"/>
      <c r="H5" s="3"/>
      <c r="I5" s="2"/>
      <c r="J5" s="2"/>
      <c r="K5" s="262" t="s">
        <v>108</v>
      </c>
      <c r="L5" s="262"/>
      <c r="M5" s="262"/>
      <c r="N5" s="2"/>
    </row>
    <row r="6" spans="2:17" ht="4.9000000000000004" customHeight="1" x14ac:dyDescent="0.2">
      <c r="B6" s="4"/>
      <c r="C6" s="5"/>
      <c r="D6" s="5"/>
      <c r="E6" s="5"/>
      <c r="F6" s="5"/>
      <c r="G6" s="5"/>
      <c r="H6" s="6"/>
      <c r="I6" s="2"/>
      <c r="J6" s="50"/>
      <c r="K6" s="51"/>
      <c r="L6" s="51"/>
      <c r="M6" s="51"/>
      <c r="N6" s="34"/>
    </row>
    <row r="7" spans="2:17" ht="13.9" customHeight="1" x14ac:dyDescent="0.2">
      <c r="B7" s="7"/>
      <c r="C7" s="8" t="s">
        <v>96</v>
      </c>
      <c r="D7" s="9"/>
      <c r="E7" s="10"/>
      <c r="F7" s="9"/>
      <c r="G7" s="11">
        <v>200</v>
      </c>
      <c r="H7" s="12"/>
      <c r="I7" s="13"/>
      <c r="J7" s="52"/>
      <c r="K7" s="10" t="s">
        <v>150</v>
      </c>
      <c r="L7" s="10"/>
      <c r="M7" s="128">
        <f>ROUND(G7*G12,0)</f>
        <v>180</v>
      </c>
      <c r="N7" s="53"/>
      <c r="O7" s="14"/>
    </row>
    <row r="8" spans="2:17" ht="13.9" customHeight="1" x14ac:dyDescent="0.2">
      <c r="B8" s="7"/>
      <c r="C8" s="8" t="s">
        <v>105</v>
      </c>
      <c r="D8" s="9"/>
      <c r="E8" s="10"/>
      <c r="F8" s="9"/>
      <c r="G8" s="11">
        <v>25</v>
      </c>
      <c r="H8" s="12"/>
      <c r="I8" s="13"/>
      <c r="J8" s="52"/>
      <c r="K8" s="189" t="s">
        <v>149</v>
      </c>
      <c r="L8" s="10"/>
      <c r="M8" s="128">
        <f>ROUND(M7*E13,0)</f>
        <v>90</v>
      </c>
      <c r="N8" s="53"/>
      <c r="O8" s="14"/>
      <c r="Q8" s="1" t="s">
        <v>171</v>
      </c>
    </row>
    <row r="9" spans="2:17" ht="13.9" customHeight="1" x14ac:dyDescent="0.2">
      <c r="B9" s="15"/>
      <c r="C9" s="10" t="s">
        <v>93</v>
      </c>
      <c r="D9" s="10"/>
      <c r="E9" s="10"/>
      <c r="F9" s="10"/>
      <c r="G9" s="16">
        <v>0.05</v>
      </c>
      <c r="H9" s="17"/>
      <c r="I9" s="18"/>
      <c r="J9" s="54"/>
      <c r="K9" s="190" t="s">
        <v>148</v>
      </c>
      <c r="L9" s="10"/>
      <c r="M9" s="128">
        <f>M7-M8</f>
        <v>90</v>
      </c>
      <c r="N9" s="55"/>
      <c r="O9" s="10"/>
      <c r="Q9" s="1" t="s">
        <v>174</v>
      </c>
    </row>
    <row r="10" spans="2:17" ht="13.9" customHeight="1" x14ac:dyDescent="0.2">
      <c r="B10" s="15"/>
      <c r="C10" s="19" t="s">
        <v>106</v>
      </c>
      <c r="D10" s="19"/>
      <c r="E10" s="10"/>
      <c r="F10" s="19"/>
      <c r="G10" s="16">
        <v>0.1</v>
      </c>
      <c r="H10" s="17"/>
      <c r="I10" s="18"/>
      <c r="J10" s="54"/>
      <c r="M10" s="196"/>
      <c r="N10" s="55"/>
      <c r="O10" s="10"/>
    </row>
    <row r="11" spans="2:17" ht="13.9" customHeight="1" x14ac:dyDescent="0.2">
      <c r="B11" s="15"/>
      <c r="C11" s="19" t="s">
        <v>107</v>
      </c>
      <c r="D11" s="19"/>
      <c r="E11" s="10"/>
      <c r="F11" s="19"/>
      <c r="G11" s="16">
        <v>0.15</v>
      </c>
      <c r="H11" s="17"/>
      <c r="I11" s="18"/>
      <c r="J11" s="54"/>
      <c r="K11" s="21" t="s">
        <v>147</v>
      </c>
      <c r="L11" s="10"/>
      <c r="M11" s="128">
        <f>ROUND(G7*G14,0)</f>
        <v>40</v>
      </c>
      <c r="N11" s="55"/>
      <c r="O11" s="10"/>
      <c r="Q11" s="1" t="s">
        <v>175</v>
      </c>
    </row>
    <row r="12" spans="2:17" ht="13.9" customHeight="1" x14ac:dyDescent="0.2">
      <c r="B12" s="20"/>
      <c r="C12" s="21" t="s">
        <v>94</v>
      </c>
      <c r="D12" s="22"/>
      <c r="E12" s="10"/>
      <c r="F12" s="22"/>
      <c r="G12" s="16">
        <v>0.9</v>
      </c>
      <c r="H12" s="17"/>
      <c r="I12" s="18"/>
      <c r="J12" s="54"/>
      <c r="K12" s="21" t="s">
        <v>146</v>
      </c>
      <c r="L12" s="10"/>
      <c r="M12" s="128">
        <f>ROUND(M9-M11,0)</f>
        <v>50</v>
      </c>
      <c r="N12" s="55"/>
      <c r="O12" s="10"/>
    </row>
    <row r="13" spans="2:17" ht="13.9" customHeight="1" x14ac:dyDescent="0.2">
      <c r="B13" s="20"/>
      <c r="C13" s="23" t="s">
        <v>97</v>
      </c>
      <c r="D13" s="22"/>
      <c r="E13" s="16">
        <v>0.5</v>
      </c>
      <c r="F13" s="22"/>
      <c r="G13" s="22"/>
      <c r="H13" s="24"/>
      <c r="I13" s="25"/>
      <c r="J13" s="56"/>
      <c r="K13" s="1" t="s">
        <v>145</v>
      </c>
      <c r="M13" s="196">
        <f>ROUND(M11-(G7*(G9+G10)),0)</f>
        <v>10</v>
      </c>
      <c r="N13" s="55"/>
      <c r="O13" s="10"/>
    </row>
    <row r="14" spans="2:17" ht="13.9" customHeight="1" x14ac:dyDescent="0.2">
      <c r="B14" s="20"/>
      <c r="C14" s="21" t="s">
        <v>104</v>
      </c>
      <c r="D14" s="22"/>
      <c r="E14" s="10"/>
      <c r="F14" s="22"/>
      <c r="G14" s="16">
        <v>0.2</v>
      </c>
      <c r="H14" s="12"/>
      <c r="I14" s="25"/>
      <c r="J14" s="56"/>
      <c r="K14" s="1" t="s">
        <v>144</v>
      </c>
      <c r="M14" s="196">
        <f>ROUND(G7/G8,0)</f>
        <v>8</v>
      </c>
      <c r="N14" s="55"/>
      <c r="O14" s="10"/>
    </row>
    <row r="15" spans="2:17" ht="4.9000000000000004" customHeight="1" thickBot="1" x14ac:dyDescent="0.25">
      <c r="B15" s="26"/>
      <c r="C15" s="27"/>
      <c r="D15" s="27"/>
      <c r="E15" s="27"/>
      <c r="F15" s="27"/>
      <c r="G15" s="27"/>
      <c r="H15" s="28"/>
      <c r="I15" s="13"/>
      <c r="J15" s="57"/>
      <c r="K15" s="58"/>
      <c r="L15" s="27"/>
      <c r="M15" s="27"/>
      <c r="N15" s="28"/>
      <c r="O15" s="10"/>
    </row>
    <row r="16" spans="2:17" ht="13.9" customHeight="1" x14ac:dyDescent="0.2">
      <c r="B16" s="10"/>
      <c r="C16" s="10"/>
      <c r="D16" s="10"/>
      <c r="E16" s="10"/>
      <c r="F16" s="10"/>
      <c r="G16" s="10"/>
      <c r="H16" s="10"/>
      <c r="I16" s="13"/>
      <c r="J16" s="59"/>
      <c r="K16" s="22"/>
      <c r="L16" s="10"/>
      <c r="M16" s="10"/>
      <c r="N16" s="10"/>
      <c r="O16" s="10"/>
    </row>
    <row r="17" spans="2:14" ht="13.9" customHeight="1" thickBot="1" x14ac:dyDescent="0.25">
      <c r="C17" s="275" t="s">
        <v>98</v>
      </c>
      <c r="D17" s="275"/>
      <c r="E17" s="275"/>
      <c r="F17" s="275"/>
      <c r="G17" s="275"/>
      <c r="H17" s="275"/>
      <c r="I17" s="275"/>
      <c r="J17" s="275"/>
      <c r="K17" s="275"/>
      <c r="L17" s="275"/>
      <c r="M17" s="275"/>
    </row>
    <row r="18" spans="2:14" ht="4.9000000000000004" customHeight="1" x14ac:dyDescent="0.2">
      <c r="B18" s="4"/>
      <c r="C18" s="60"/>
      <c r="D18" s="60"/>
      <c r="E18" s="60"/>
      <c r="F18" s="60"/>
      <c r="G18" s="60"/>
      <c r="H18" s="60"/>
      <c r="I18" s="60"/>
      <c r="J18" s="60"/>
      <c r="K18" s="60"/>
      <c r="L18" s="60"/>
      <c r="M18" s="60"/>
      <c r="N18" s="61"/>
    </row>
    <row r="19" spans="2:14" ht="13.9" customHeight="1" x14ac:dyDescent="0.2">
      <c r="B19" s="62"/>
      <c r="C19" s="276" t="s">
        <v>137</v>
      </c>
      <c r="D19" s="277"/>
      <c r="E19" s="277"/>
      <c r="F19" s="277"/>
      <c r="G19" s="277"/>
      <c r="H19" s="277"/>
      <c r="I19" s="277"/>
      <c r="J19" s="277"/>
      <c r="K19" s="277"/>
      <c r="L19" s="277"/>
      <c r="M19" s="278"/>
      <c r="N19" s="63"/>
    </row>
    <row r="20" spans="2:14" ht="13.9" customHeight="1" x14ac:dyDescent="0.2">
      <c r="B20" s="62"/>
      <c r="C20" s="279" t="s">
        <v>172</v>
      </c>
      <c r="D20" s="280"/>
      <c r="E20" s="280"/>
      <c r="F20" s="280"/>
      <c r="G20" s="280"/>
      <c r="H20" s="280"/>
      <c r="I20" s="280"/>
      <c r="J20" s="280"/>
      <c r="K20" s="280"/>
      <c r="L20" s="280"/>
      <c r="M20" s="281"/>
      <c r="N20" s="63"/>
    </row>
    <row r="21" spans="2:14" ht="13.9" customHeight="1" x14ac:dyDescent="0.2">
      <c r="B21" s="62"/>
      <c r="C21" s="272" t="s">
        <v>173</v>
      </c>
      <c r="D21" s="273"/>
      <c r="E21" s="273"/>
      <c r="F21" s="273"/>
      <c r="G21" s="273"/>
      <c r="H21" s="273"/>
      <c r="I21" s="273"/>
      <c r="J21" s="273"/>
      <c r="K21" s="273"/>
      <c r="L21" s="273"/>
      <c r="M21" s="274"/>
      <c r="N21" s="63"/>
    </row>
    <row r="22" spans="2:14" ht="4.9000000000000004" customHeight="1" thickBot="1" x14ac:dyDescent="0.25">
      <c r="B22" s="64"/>
      <c r="C22" s="65"/>
      <c r="D22" s="65"/>
      <c r="E22" s="65"/>
      <c r="F22" s="65"/>
      <c r="G22" s="65"/>
      <c r="H22" s="65"/>
      <c r="I22" s="65"/>
      <c r="J22" s="65"/>
      <c r="K22" s="65"/>
      <c r="L22" s="65"/>
      <c r="M22" s="65"/>
      <c r="N22" s="66"/>
    </row>
    <row r="23" spans="2:14" ht="13.9" customHeight="1" x14ac:dyDescent="0.2">
      <c r="B23" s="29"/>
      <c r="C23" s="30"/>
      <c r="D23" s="29"/>
      <c r="E23" s="29"/>
      <c r="F23" s="29"/>
      <c r="G23" s="29"/>
      <c r="H23" s="29"/>
      <c r="I23" s="29"/>
      <c r="J23" s="29"/>
      <c r="K23" s="29"/>
      <c r="L23" s="29"/>
    </row>
    <row r="24" spans="2:14" ht="13.9" customHeight="1" thickBot="1" x14ac:dyDescent="0.25">
      <c r="B24" s="31"/>
      <c r="C24" s="258" t="s">
        <v>74</v>
      </c>
      <c r="D24" s="258"/>
      <c r="E24" s="258"/>
      <c r="F24" s="258"/>
      <c r="G24" s="258"/>
      <c r="H24" s="258"/>
      <c r="I24" s="258"/>
      <c r="J24" s="258"/>
      <c r="K24" s="258"/>
      <c r="L24" s="258"/>
      <c r="M24" s="258"/>
    </row>
    <row r="25" spans="2:14" ht="13.9" customHeight="1" x14ac:dyDescent="0.2">
      <c r="B25" s="4"/>
      <c r="C25" s="32"/>
      <c r="D25" s="32"/>
      <c r="E25" s="33" t="s">
        <v>77</v>
      </c>
      <c r="F25" s="33"/>
      <c r="G25" s="33" t="s">
        <v>80</v>
      </c>
      <c r="H25" s="33"/>
      <c r="I25" s="33"/>
      <c r="J25" s="33"/>
      <c r="K25" s="259" t="s">
        <v>81</v>
      </c>
      <c r="L25" s="259"/>
      <c r="M25" s="259"/>
      <c r="N25" s="34"/>
    </row>
    <row r="26" spans="2:14" ht="13.9" customHeight="1" x14ac:dyDescent="0.2">
      <c r="B26" s="15"/>
      <c r="C26" s="10" t="s">
        <v>75</v>
      </c>
      <c r="D26" s="9"/>
      <c r="E26" s="35" t="s">
        <v>78</v>
      </c>
      <c r="F26" s="35"/>
      <c r="G26" s="35" t="s">
        <v>3</v>
      </c>
      <c r="H26" s="35"/>
      <c r="I26" s="35"/>
      <c r="J26" s="35"/>
      <c r="K26" s="35" t="s">
        <v>82</v>
      </c>
      <c r="L26" s="35" t="s">
        <v>84</v>
      </c>
      <c r="M26" s="35" t="s">
        <v>9</v>
      </c>
      <c r="N26" s="36"/>
    </row>
    <row r="27" spans="2:14" ht="13.9" customHeight="1" thickBot="1" x14ac:dyDescent="0.25">
      <c r="B27" s="15"/>
      <c r="C27" s="27" t="s">
        <v>76</v>
      </c>
      <c r="D27" s="37" t="s">
        <v>60</v>
      </c>
      <c r="E27" s="38" t="s">
        <v>79</v>
      </c>
      <c r="F27" s="38"/>
      <c r="G27" s="38" t="s">
        <v>86</v>
      </c>
      <c r="H27" s="38"/>
      <c r="I27" s="38"/>
      <c r="J27" s="38"/>
      <c r="K27" s="38" t="s">
        <v>83</v>
      </c>
      <c r="L27" s="38" t="s">
        <v>85</v>
      </c>
      <c r="M27" s="38" t="s">
        <v>85</v>
      </c>
      <c r="N27" s="36"/>
    </row>
    <row r="28" spans="2:14" ht="4.9000000000000004" customHeight="1" x14ac:dyDescent="0.2">
      <c r="B28" s="15"/>
      <c r="C28" s="10"/>
      <c r="D28" s="9"/>
      <c r="E28" s="35"/>
      <c r="F28" s="35"/>
      <c r="G28" s="35"/>
      <c r="H28" s="35"/>
      <c r="I28" s="35"/>
      <c r="J28" s="35"/>
      <c r="K28" s="35"/>
      <c r="L28" s="35"/>
      <c r="M28" s="35"/>
      <c r="N28" s="36"/>
    </row>
    <row r="29" spans="2:14" ht="13.9" customHeight="1" x14ac:dyDescent="0.2">
      <c r="B29" s="15"/>
      <c r="C29" s="10" t="s">
        <v>58</v>
      </c>
      <c r="D29" s="39">
        <f>M8</f>
        <v>90</v>
      </c>
      <c r="E29" s="71">
        <v>700</v>
      </c>
      <c r="F29" s="40"/>
      <c r="G29" s="72">
        <v>350</v>
      </c>
      <c r="H29" s="41"/>
      <c r="I29" s="41"/>
      <c r="J29" s="41"/>
      <c r="K29" s="42">
        <f>E29*(G29/100)</f>
        <v>2450</v>
      </c>
      <c r="L29" s="73">
        <f>K29*D29</f>
        <v>220500</v>
      </c>
      <c r="M29" s="42">
        <f t="shared" ref="M29:M34" si="0">L29/$G$7</f>
        <v>1102.5</v>
      </c>
      <c r="N29" s="43"/>
    </row>
    <row r="30" spans="2:14" ht="13.9" customHeight="1" x14ac:dyDescent="0.2">
      <c r="B30" s="15"/>
      <c r="C30" s="10" t="s">
        <v>59</v>
      </c>
      <c r="D30" s="39">
        <f>M12</f>
        <v>50</v>
      </c>
      <c r="E30" s="71">
        <v>650</v>
      </c>
      <c r="F30" s="40"/>
      <c r="G30" s="72">
        <v>325</v>
      </c>
      <c r="H30" s="41"/>
      <c r="I30" s="41"/>
      <c r="J30" s="41"/>
      <c r="K30" s="42">
        <f>E30*(G30/100)</f>
        <v>2112.5</v>
      </c>
      <c r="L30" s="73">
        <f>K30*D30</f>
        <v>105625</v>
      </c>
      <c r="M30" s="42">
        <f t="shared" si="0"/>
        <v>528.125</v>
      </c>
      <c r="N30" s="43"/>
    </row>
    <row r="31" spans="2:14" ht="13.9" customHeight="1" x14ac:dyDescent="0.2">
      <c r="B31" s="15"/>
      <c r="C31" s="10" t="s">
        <v>95</v>
      </c>
      <c r="D31" s="39">
        <f>M13</f>
        <v>10</v>
      </c>
      <c r="E31" s="71">
        <v>650</v>
      </c>
      <c r="F31" s="40"/>
      <c r="G31" s="72">
        <v>325</v>
      </c>
      <c r="H31" s="41"/>
      <c r="I31" s="41"/>
      <c r="J31" s="41"/>
      <c r="K31" s="42">
        <f>E31*(G31/100)</f>
        <v>2112.5</v>
      </c>
      <c r="L31" s="73">
        <f>K31*D31</f>
        <v>21125</v>
      </c>
      <c r="M31" s="42">
        <f t="shared" si="0"/>
        <v>105.625</v>
      </c>
      <c r="N31" s="43"/>
    </row>
    <row r="32" spans="2:14" ht="13.9" customHeight="1" x14ac:dyDescent="0.2">
      <c r="B32" s="15"/>
      <c r="C32" s="10" t="s">
        <v>72</v>
      </c>
      <c r="D32" s="39">
        <f>G7*G10</f>
        <v>20</v>
      </c>
      <c r="E32" s="71">
        <v>1250</v>
      </c>
      <c r="F32" s="40"/>
      <c r="G32" s="72">
        <v>168</v>
      </c>
      <c r="H32" s="41"/>
      <c r="I32" s="41"/>
      <c r="J32" s="41"/>
      <c r="K32" s="42">
        <f>E32*(G32/100)</f>
        <v>2100</v>
      </c>
      <c r="L32" s="73">
        <f>K32*D32</f>
        <v>42000</v>
      </c>
      <c r="M32" s="42">
        <f t="shared" si="0"/>
        <v>210</v>
      </c>
      <c r="N32" s="43"/>
    </row>
    <row r="33" spans="2:14" ht="13.9" customHeight="1" x14ac:dyDescent="0.2">
      <c r="B33" s="15"/>
      <c r="C33" s="10" t="s">
        <v>73</v>
      </c>
      <c r="D33" s="39">
        <f>ROUNDDOWN(M14*G11,0)</f>
        <v>1</v>
      </c>
      <c r="E33" s="71">
        <v>2100</v>
      </c>
      <c r="F33" s="40"/>
      <c r="G33" s="72">
        <v>120</v>
      </c>
      <c r="H33" s="41"/>
      <c r="I33" s="41"/>
      <c r="J33" s="41"/>
      <c r="K33" s="42">
        <f>E33*(G33/100)</f>
        <v>2520</v>
      </c>
      <c r="L33" s="73">
        <f>K33*D33</f>
        <v>2520</v>
      </c>
      <c r="M33" s="42">
        <f t="shared" si="0"/>
        <v>12.6</v>
      </c>
      <c r="N33" s="43"/>
    </row>
    <row r="34" spans="2:14" ht="13.9" customHeight="1" x14ac:dyDescent="0.2">
      <c r="B34" s="15"/>
      <c r="C34" s="10" t="s">
        <v>62</v>
      </c>
      <c r="D34" s="39"/>
      <c r="E34" s="39"/>
      <c r="F34" s="39"/>
      <c r="G34" s="39"/>
      <c r="H34" s="41"/>
      <c r="I34" s="41"/>
      <c r="J34" s="41"/>
      <c r="K34" s="42"/>
      <c r="L34" s="74">
        <v>2500</v>
      </c>
      <c r="M34" s="42">
        <f t="shared" si="0"/>
        <v>12.5</v>
      </c>
      <c r="N34" s="43"/>
    </row>
    <row r="35" spans="2:14" ht="4.9000000000000004" customHeight="1" thickBot="1" x14ac:dyDescent="0.25">
      <c r="B35" s="15"/>
      <c r="C35" s="67"/>
      <c r="D35" s="45"/>
      <c r="E35" s="68"/>
      <c r="F35" s="46"/>
      <c r="G35" s="69"/>
      <c r="H35" s="47"/>
      <c r="I35" s="47"/>
      <c r="J35" s="47"/>
      <c r="K35" s="70"/>
      <c r="L35" s="75"/>
      <c r="M35" s="70"/>
      <c r="N35" s="43"/>
    </row>
    <row r="36" spans="2:14" ht="13.9" customHeight="1" thickTop="1" thickBot="1" x14ac:dyDescent="0.25">
      <c r="B36" s="26"/>
      <c r="C36" s="48" t="s">
        <v>71</v>
      </c>
      <c r="D36" s="37">
        <f>SUM(D29:D35)</f>
        <v>171</v>
      </c>
      <c r="E36" s="27"/>
      <c r="F36" s="27"/>
      <c r="G36" s="27"/>
      <c r="H36" s="27"/>
      <c r="I36" s="27"/>
      <c r="J36" s="27"/>
      <c r="K36" s="27"/>
      <c r="L36" s="137">
        <f>SUM(L29:L35)</f>
        <v>394270</v>
      </c>
      <c r="M36" s="136">
        <f>SUM(M29:M35)</f>
        <v>1971.35</v>
      </c>
      <c r="N36" s="49"/>
    </row>
    <row r="37" spans="2:14" ht="13.9" customHeight="1" x14ac:dyDescent="0.2"/>
    <row r="38" spans="2:14" ht="15" customHeight="1" x14ac:dyDescent="0.2">
      <c r="G38" s="256">
        <f>D29*E29</f>
        <v>63000</v>
      </c>
    </row>
    <row r="39" spans="2:14" ht="15" customHeight="1" x14ac:dyDescent="0.2">
      <c r="G39" s="256">
        <f>D30*E30</f>
        <v>32500</v>
      </c>
    </row>
    <row r="40" spans="2:14" ht="15" customHeight="1" x14ac:dyDescent="0.2">
      <c r="G40" s="256">
        <f>D31*E31</f>
        <v>6500</v>
      </c>
    </row>
    <row r="41" spans="2:14" ht="15" customHeight="1" x14ac:dyDescent="0.2">
      <c r="G41" s="256">
        <f>D32*E32</f>
        <v>25000</v>
      </c>
    </row>
    <row r="42" spans="2:14" ht="15" customHeight="1" x14ac:dyDescent="0.2">
      <c r="G42" s="256">
        <f>D33*E33</f>
        <v>2100</v>
      </c>
    </row>
    <row r="43" spans="2:14" ht="15" customHeight="1" x14ac:dyDescent="0.2">
      <c r="G43" s="256">
        <f>SUM(G38:G42)</f>
        <v>129100</v>
      </c>
    </row>
  </sheetData>
  <sheetProtection password="CA5F" sheet="1"/>
  <mergeCells count="8">
    <mergeCell ref="C21:M21"/>
    <mergeCell ref="K25:M25"/>
    <mergeCell ref="K5:M5"/>
    <mergeCell ref="C24:M24"/>
    <mergeCell ref="C5:G5"/>
    <mergeCell ref="C17:M17"/>
    <mergeCell ref="C19:M19"/>
    <mergeCell ref="C20:M20"/>
  </mergeCells>
  <phoneticPr fontId="4" type="noConversion"/>
  <printOptions horizontalCentered="1"/>
  <pageMargins left="0.75" right="0.75" top="1" bottom="1" header="0.5" footer="0.5"/>
  <pageSetup scale="78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1C840B-8CBA-4F9F-A3BE-206053AA8750}">
  <dimension ref="A1:P137"/>
  <sheetViews>
    <sheetView zoomScale="120" zoomScaleNormal="120" workbookViewId="0"/>
  </sheetViews>
  <sheetFormatPr defaultColWidth="11.42578125" defaultRowHeight="15" customHeight="1" x14ac:dyDescent="0.2"/>
  <cols>
    <col min="1" max="1" width="4.7109375" style="139" customWidth="1"/>
    <col min="2" max="2" width="0.85546875" style="139" customWidth="1"/>
    <col min="3" max="3" width="20.7109375" style="139" customWidth="1"/>
    <col min="4" max="9" width="10.7109375" style="139" customWidth="1"/>
    <col min="10" max="10" width="0.85546875" style="139" customWidth="1"/>
    <col min="11" max="11" width="11.42578125" style="139"/>
    <col min="12" max="12" width="27.42578125" style="139" customWidth="1"/>
    <col min="13" max="16384" width="11.42578125" style="139"/>
  </cols>
  <sheetData>
    <row r="1" spans="1:12" ht="15" customHeight="1" x14ac:dyDescent="0.2">
      <c r="C1" s="141"/>
      <c r="D1" s="141"/>
      <c r="E1" s="142"/>
      <c r="F1" s="143"/>
    </row>
    <row r="2" spans="1:12" ht="15" customHeight="1" thickBot="1" x14ac:dyDescent="0.25">
      <c r="C2" s="140" t="s">
        <v>138</v>
      </c>
    </row>
    <row r="3" spans="1:12" ht="15" customHeight="1" x14ac:dyDescent="0.2">
      <c r="A3" s="144"/>
      <c r="B3" s="101"/>
      <c r="C3" s="89"/>
      <c r="D3" s="89"/>
      <c r="E3" s="76" t="s">
        <v>2</v>
      </c>
      <c r="F3" s="76"/>
      <c r="G3" s="76" t="s">
        <v>3</v>
      </c>
      <c r="H3" s="282" t="s">
        <v>4</v>
      </c>
      <c r="I3" s="282"/>
      <c r="J3" s="90"/>
    </row>
    <row r="4" spans="1:12" ht="15" customHeight="1" x14ac:dyDescent="0.2">
      <c r="A4" s="144"/>
      <c r="B4" s="102"/>
      <c r="C4" s="77" t="s">
        <v>5</v>
      </c>
      <c r="D4" s="145" t="s">
        <v>6</v>
      </c>
      <c r="E4" s="146" t="s">
        <v>1</v>
      </c>
      <c r="F4" s="104" t="s">
        <v>7</v>
      </c>
      <c r="G4" s="78" t="s">
        <v>8</v>
      </c>
      <c r="H4" s="104" t="s">
        <v>9</v>
      </c>
      <c r="I4" s="104" t="s">
        <v>10</v>
      </c>
      <c r="J4" s="105"/>
    </row>
    <row r="5" spans="1:12" ht="4.9000000000000004" customHeight="1" x14ac:dyDescent="0.2">
      <c r="A5" s="144"/>
      <c r="B5" s="102"/>
      <c r="C5" s="79"/>
      <c r="D5" s="116"/>
      <c r="E5" s="147"/>
      <c r="F5" s="112"/>
      <c r="G5" s="112"/>
      <c r="H5" s="112"/>
      <c r="I5" s="112"/>
      <c r="J5" s="105"/>
    </row>
    <row r="6" spans="1:12" ht="15" customHeight="1" x14ac:dyDescent="0.2">
      <c r="A6" s="144"/>
      <c r="B6" s="102"/>
      <c r="C6" s="79" t="s">
        <v>11</v>
      </c>
      <c r="D6" s="116" t="s">
        <v>12</v>
      </c>
      <c r="E6" s="113">
        <v>13</v>
      </c>
      <c r="F6" s="114">
        <v>75</v>
      </c>
      <c r="G6" s="113">
        <v>150</v>
      </c>
      <c r="H6" s="124">
        <f>E6*F6*(G6/2000)</f>
        <v>73.125</v>
      </c>
      <c r="I6" s="148">
        <f>H6*'Assumptions + Income'!$G$7</f>
        <v>14625</v>
      </c>
      <c r="J6" s="105"/>
      <c r="L6" s="283" t="s">
        <v>177</v>
      </c>
    </row>
    <row r="7" spans="1:12" ht="15" customHeight="1" x14ac:dyDescent="0.2">
      <c r="A7" s="144"/>
      <c r="B7" s="102"/>
      <c r="C7" s="79" t="s">
        <v>176</v>
      </c>
      <c r="D7" s="116" t="s">
        <v>12</v>
      </c>
      <c r="E7" s="113">
        <v>30</v>
      </c>
      <c r="F7" s="114">
        <v>150</v>
      </c>
      <c r="G7" s="113">
        <v>100</v>
      </c>
      <c r="H7" s="124">
        <f>E7*F7*(G7/2000)</f>
        <v>225</v>
      </c>
      <c r="I7" s="148">
        <f>H7*'Assumptions + Income'!$G$7</f>
        <v>45000</v>
      </c>
      <c r="J7" s="105"/>
      <c r="L7" s="283"/>
    </row>
    <row r="8" spans="1:12" ht="15" customHeight="1" x14ac:dyDescent="0.2">
      <c r="A8" s="144"/>
      <c r="B8" s="102"/>
      <c r="C8" s="79" t="s">
        <v>13</v>
      </c>
      <c r="D8" s="116" t="s">
        <v>12</v>
      </c>
      <c r="E8" s="113">
        <v>0</v>
      </c>
      <c r="F8" s="114">
        <v>0</v>
      </c>
      <c r="G8" s="113">
        <v>0</v>
      </c>
      <c r="H8" s="124">
        <f>E8*F8*(G8/2000)</f>
        <v>0</v>
      </c>
      <c r="I8" s="148">
        <f>H8*'Assumptions + Income'!$G$7</f>
        <v>0</v>
      </c>
      <c r="J8" s="105"/>
      <c r="L8" s="283"/>
    </row>
    <row r="9" spans="1:12" ht="15" customHeight="1" x14ac:dyDescent="0.2">
      <c r="A9" s="144"/>
      <c r="B9" s="102"/>
      <c r="C9" s="79" t="s">
        <v>14</v>
      </c>
      <c r="D9" s="116" t="s">
        <v>15</v>
      </c>
      <c r="E9" s="113">
        <v>0</v>
      </c>
      <c r="F9" s="114">
        <v>0</v>
      </c>
      <c r="G9" s="113">
        <v>0</v>
      </c>
      <c r="H9" s="124">
        <f>E9*F9*G9</f>
        <v>0</v>
      </c>
      <c r="I9" s="148">
        <f>H9*'Assumptions + Income'!$G$7</f>
        <v>0</v>
      </c>
      <c r="J9" s="105"/>
      <c r="L9" s="283"/>
    </row>
    <row r="10" spans="1:12" ht="15" customHeight="1" x14ac:dyDescent="0.2">
      <c r="A10" s="144"/>
      <c r="B10" s="102"/>
      <c r="C10" s="79" t="s">
        <v>16</v>
      </c>
      <c r="D10" s="116" t="s">
        <v>12</v>
      </c>
      <c r="E10" s="113">
        <v>1.7</v>
      </c>
      <c r="F10" s="114">
        <v>150</v>
      </c>
      <c r="G10" s="113">
        <v>400</v>
      </c>
      <c r="H10" s="124">
        <f>E10*F10*(G10/2000)</f>
        <v>51</v>
      </c>
      <c r="I10" s="148">
        <f>H10*'Assumptions + Income'!$G$7</f>
        <v>10200</v>
      </c>
      <c r="J10" s="105"/>
      <c r="L10" s="283"/>
    </row>
    <row r="11" spans="1:12" ht="15" customHeight="1" x14ac:dyDescent="0.2">
      <c r="A11" s="144"/>
      <c r="B11" s="102"/>
      <c r="C11" s="79" t="s">
        <v>181</v>
      </c>
      <c r="D11" s="116" t="s">
        <v>15</v>
      </c>
      <c r="E11" s="113">
        <v>0.1</v>
      </c>
      <c r="F11" s="114">
        <v>365</v>
      </c>
      <c r="G11" s="113">
        <v>0.16</v>
      </c>
      <c r="H11" s="124">
        <f>E11*F11*(G11)</f>
        <v>5.84</v>
      </c>
      <c r="I11" s="148">
        <f>H11*'Assumptions + Income'!$G$7</f>
        <v>1168</v>
      </c>
      <c r="J11" s="105"/>
      <c r="L11" s="283"/>
    </row>
    <row r="12" spans="1:12" ht="15" customHeight="1" x14ac:dyDescent="0.2">
      <c r="A12" s="144"/>
      <c r="B12" s="102"/>
      <c r="C12" s="79" t="s">
        <v>17</v>
      </c>
      <c r="D12" s="116" t="s">
        <v>23</v>
      </c>
      <c r="E12" s="149"/>
      <c r="F12" s="150"/>
      <c r="G12" s="149"/>
      <c r="H12" s="113">
        <v>0</v>
      </c>
      <c r="I12" s="148">
        <f>H12*'Assumptions + Income'!$G$7</f>
        <v>0</v>
      </c>
      <c r="J12" s="105"/>
      <c r="L12" s="283"/>
    </row>
    <row r="13" spans="1:12" ht="4.9000000000000004" customHeight="1" thickBot="1" x14ac:dyDescent="0.25">
      <c r="A13" s="144"/>
      <c r="B13" s="102"/>
      <c r="C13" s="115"/>
      <c r="D13" s="151"/>
      <c r="E13" s="152"/>
      <c r="F13" s="153"/>
      <c r="G13" s="152"/>
      <c r="H13" s="154"/>
      <c r="I13" s="155"/>
      <c r="J13" s="105"/>
    </row>
    <row r="14" spans="1:12" ht="15" customHeight="1" thickTop="1" thickBot="1" x14ac:dyDescent="0.25">
      <c r="A14" s="144"/>
      <c r="B14" s="110"/>
      <c r="C14" s="81" t="s">
        <v>18</v>
      </c>
      <c r="D14" s="92"/>
      <c r="E14" s="156">
        <f>SUM(E6:E13)</f>
        <v>44.800000000000004</v>
      </c>
      <c r="F14" s="82"/>
      <c r="G14" s="82"/>
      <c r="H14" s="157">
        <f>SUM(H6:H13)</f>
        <v>354.96499999999997</v>
      </c>
      <c r="I14" s="158">
        <f>SUM(I6:I13)</f>
        <v>70993</v>
      </c>
      <c r="J14" s="111"/>
      <c r="L14" s="139" t="s">
        <v>178</v>
      </c>
    </row>
    <row r="15" spans="1:12" ht="15" customHeight="1" x14ac:dyDescent="0.2">
      <c r="C15" s="140"/>
      <c r="H15" s="79"/>
      <c r="I15" s="107"/>
      <c r="L15" s="139" t="s">
        <v>179</v>
      </c>
    </row>
    <row r="16" spans="1:12" ht="15" customHeight="1" thickBot="1" x14ac:dyDescent="0.25">
      <c r="C16" s="140" t="s">
        <v>139</v>
      </c>
      <c r="L16" s="139" t="s">
        <v>180</v>
      </c>
    </row>
    <row r="17" spans="1:12" ht="15" customHeight="1" x14ac:dyDescent="0.2">
      <c r="B17" s="101"/>
      <c r="C17" s="89"/>
      <c r="D17" s="89"/>
      <c r="E17" s="76"/>
      <c r="F17" s="76"/>
      <c r="G17" s="76" t="s">
        <v>3</v>
      </c>
      <c r="H17" s="282" t="s">
        <v>4</v>
      </c>
      <c r="I17" s="282"/>
      <c r="J17" s="90"/>
      <c r="L17" s="139">
        <f>8/50</f>
        <v>0.16</v>
      </c>
    </row>
    <row r="18" spans="1:12" ht="15" customHeight="1" x14ac:dyDescent="0.2">
      <c r="B18" s="102"/>
      <c r="C18" s="77" t="s">
        <v>5</v>
      </c>
      <c r="D18" s="145" t="s">
        <v>6</v>
      </c>
      <c r="E18" s="78" t="s">
        <v>65</v>
      </c>
      <c r="F18" s="104" t="s">
        <v>7</v>
      </c>
      <c r="G18" s="78" t="s">
        <v>8</v>
      </c>
      <c r="H18" s="104" t="s">
        <v>9</v>
      </c>
      <c r="I18" s="104" t="s">
        <v>10</v>
      </c>
      <c r="J18" s="105"/>
    </row>
    <row r="19" spans="1:12" ht="4.9000000000000004" customHeight="1" x14ac:dyDescent="0.2">
      <c r="B19" s="102"/>
      <c r="C19" s="79"/>
      <c r="D19" s="116"/>
      <c r="E19" s="147"/>
      <c r="F19" s="112"/>
      <c r="G19" s="112"/>
      <c r="H19" s="112"/>
      <c r="I19" s="112"/>
      <c r="J19" s="105"/>
    </row>
    <row r="20" spans="1:12" ht="15" customHeight="1" x14ac:dyDescent="0.2">
      <c r="B20" s="102"/>
      <c r="C20" s="79" t="s">
        <v>109</v>
      </c>
      <c r="D20" s="116" t="s">
        <v>0</v>
      </c>
      <c r="E20" s="114">
        <v>200</v>
      </c>
      <c r="F20" s="114">
        <v>60</v>
      </c>
      <c r="G20" s="113">
        <v>1</v>
      </c>
      <c r="H20" s="124">
        <f>F20*G20</f>
        <v>60</v>
      </c>
      <c r="I20" s="148">
        <f>E20*F20*G20</f>
        <v>12000</v>
      </c>
      <c r="J20" s="105"/>
      <c r="L20" s="139" t="s">
        <v>182</v>
      </c>
    </row>
    <row r="21" spans="1:12" ht="15" customHeight="1" x14ac:dyDescent="0.2">
      <c r="B21" s="102"/>
      <c r="C21" s="79" t="s">
        <v>110</v>
      </c>
      <c r="D21" s="116" t="s">
        <v>0</v>
      </c>
      <c r="E21" s="114">
        <v>200</v>
      </c>
      <c r="F21" s="114">
        <v>60</v>
      </c>
      <c r="G21" s="113">
        <v>1</v>
      </c>
      <c r="H21" s="124">
        <f>F21*G21</f>
        <v>60</v>
      </c>
      <c r="I21" s="148">
        <f>E21*F21*G21</f>
        <v>12000</v>
      </c>
      <c r="J21" s="105"/>
    </row>
    <row r="22" spans="1:12" ht="15" customHeight="1" x14ac:dyDescent="0.2">
      <c r="B22" s="102"/>
      <c r="C22" s="79" t="s">
        <v>111</v>
      </c>
      <c r="D22" s="116" t="s">
        <v>140</v>
      </c>
      <c r="E22" s="114">
        <v>200</v>
      </c>
      <c r="F22" s="114">
        <v>120</v>
      </c>
      <c r="G22" s="113">
        <v>1.35</v>
      </c>
      <c r="H22" s="124">
        <f>F22*G22</f>
        <v>162</v>
      </c>
      <c r="I22" s="148">
        <f>E22*F22*G22</f>
        <v>32400.000000000004</v>
      </c>
      <c r="J22" s="105"/>
      <c r="L22" s="139" t="s">
        <v>183</v>
      </c>
    </row>
    <row r="23" spans="1:12" ht="15" customHeight="1" x14ac:dyDescent="0.2">
      <c r="B23" s="102"/>
      <c r="C23" s="79" t="s">
        <v>165</v>
      </c>
      <c r="D23" s="116" t="s">
        <v>167</v>
      </c>
      <c r="E23" s="114">
        <v>8</v>
      </c>
      <c r="F23" s="114">
        <v>1</v>
      </c>
      <c r="G23" s="113">
        <v>800</v>
      </c>
      <c r="H23" s="124">
        <f>(F23*G23)/200</f>
        <v>4</v>
      </c>
      <c r="I23" s="148">
        <f>E23*F23*G23</f>
        <v>6400</v>
      </c>
      <c r="J23" s="105"/>
      <c r="L23" s="139" t="s">
        <v>166</v>
      </c>
    </row>
    <row r="24" spans="1:12" ht="4.9000000000000004" customHeight="1" thickBot="1" x14ac:dyDescent="0.25">
      <c r="B24" s="102"/>
      <c r="C24" s="115"/>
      <c r="D24" s="151"/>
      <c r="E24" s="152"/>
      <c r="F24" s="153"/>
      <c r="G24" s="152"/>
      <c r="H24" s="154"/>
      <c r="I24" s="155"/>
      <c r="J24" s="105"/>
    </row>
    <row r="25" spans="1:12" ht="15" customHeight="1" thickTop="1" thickBot="1" x14ac:dyDescent="0.25">
      <c r="B25" s="110"/>
      <c r="C25" s="81" t="s">
        <v>18</v>
      </c>
      <c r="D25" s="92"/>
      <c r="E25" s="156"/>
      <c r="F25" s="82"/>
      <c r="G25" s="82"/>
      <c r="H25" s="157">
        <f>SUM(H20:H24)</f>
        <v>286</v>
      </c>
      <c r="I25" s="158">
        <f>SUM(I20:I24)</f>
        <v>62800</v>
      </c>
      <c r="J25" s="111"/>
    </row>
    <row r="26" spans="1:12" ht="15" customHeight="1" x14ac:dyDescent="0.2">
      <c r="C26" s="140"/>
      <c r="H26" s="79"/>
      <c r="I26" s="107"/>
      <c r="L26" s="254">
        <f>H14+H25</f>
        <v>640.96499999999992</v>
      </c>
    </row>
    <row r="27" spans="1:12" ht="15" customHeight="1" thickBot="1" x14ac:dyDescent="0.25">
      <c r="C27" s="140" t="s">
        <v>112</v>
      </c>
      <c r="H27" s="79"/>
      <c r="I27" s="107"/>
    </row>
    <row r="28" spans="1:12" ht="15" customHeight="1" x14ac:dyDescent="0.2">
      <c r="A28" s="144"/>
      <c r="B28" s="101"/>
      <c r="C28" s="89"/>
      <c r="D28" s="89"/>
      <c r="E28" s="89"/>
      <c r="F28" s="76" t="s">
        <v>113</v>
      </c>
      <c r="G28" s="76"/>
      <c r="H28" s="282" t="s">
        <v>4</v>
      </c>
      <c r="I28" s="282"/>
      <c r="J28" s="90"/>
    </row>
    <row r="29" spans="1:12" ht="15" customHeight="1" x14ac:dyDescent="0.2">
      <c r="A29" s="144"/>
      <c r="B29" s="102"/>
      <c r="C29" s="77" t="s">
        <v>5</v>
      </c>
      <c r="D29" s="83" t="s">
        <v>6</v>
      </c>
      <c r="E29" s="78" t="s">
        <v>65</v>
      </c>
      <c r="F29" s="78" t="s">
        <v>114</v>
      </c>
      <c r="G29" s="104"/>
      <c r="H29" s="104" t="s">
        <v>9</v>
      </c>
      <c r="I29" s="104" t="s">
        <v>10</v>
      </c>
      <c r="J29" s="105"/>
    </row>
    <row r="30" spans="1:12" ht="4.9000000000000004" customHeight="1" x14ac:dyDescent="0.2">
      <c r="A30" s="144"/>
      <c r="B30" s="102"/>
      <c r="C30" s="79"/>
      <c r="D30" s="116"/>
      <c r="E30" s="112"/>
      <c r="F30" s="112"/>
      <c r="G30" s="107"/>
      <c r="H30" s="112"/>
      <c r="I30" s="112"/>
      <c r="J30" s="105"/>
    </row>
    <row r="31" spans="1:12" ht="15" customHeight="1" x14ac:dyDescent="0.2">
      <c r="A31" s="144"/>
      <c r="B31" s="102"/>
      <c r="C31" s="79" t="s">
        <v>19</v>
      </c>
      <c r="D31" s="116" t="s">
        <v>20</v>
      </c>
      <c r="E31" s="118">
        <v>0</v>
      </c>
      <c r="F31" s="117">
        <v>0</v>
      </c>
      <c r="H31" s="124">
        <f>I31/'Assumptions + Income'!$G$7</f>
        <v>0</v>
      </c>
      <c r="I31" s="148">
        <f>E31*F31</f>
        <v>0</v>
      </c>
      <c r="J31" s="105"/>
    </row>
    <row r="32" spans="1:12" ht="15" customHeight="1" x14ac:dyDescent="0.2">
      <c r="A32" s="144"/>
      <c r="B32" s="102"/>
      <c r="C32" s="139" t="s">
        <v>21</v>
      </c>
      <c r="D32" s="159" t="s">
        <v>23</v>
      </c>
      <c r="H32" s="124">
        <f>I32/'Assumptions + Income'!$G$7</f>
        <v>0</v>
      </c>
      <c r="I32" s="119">
        <v>0</v>
      </c>
      <c r="J32" s="105"/>
    </row>
    <row r="33" spans="1:12" ht="15" customHeight="1" x14ac:dyDescent="0.2">
      <c r="A33" s="144"/>
      <c r="B33" s="102"/>
      <c r="C33" s="79" t="s">
        <v>22</v>
      </c>
      <c r="D33" s="116" t="s">
        <v>23</v>
      </c>
      <c r="E33" s="118">
        <v>0</v>
      </c>
      <c r="F33" s="85">
        <v>1</v>
      </c>
      <c r="H33" s="124">
        <f>I33/'Assumptions + Income'!$G$7</f>
        <v>0</v>
      </c>
      <c r="I33" s="148">
        <f>E33*F33</f>
        <v>0</v>
      </c>
      <c r="J33" s="105"/>
    </row>
    <row r="34" spans="1:12" ht="15" customHeight="1" x14ac:dyDescent="0.2">
      <c r="A34" s="144"/>
      <c r="B34" s="102"/>
      <c r="C34" s="79" t="s">
        <v>24</v>
      </c>
      <c r="D34" s="116" t="s">
        <v>23</v>
      </c>
      <c r="E34" s="118">
        <v>0</v>
      </c>
      <c r="F34" s="85">
        <v>1</v>
      </c>
      <c r="H34" s="124">
        <f>I34/'Assumptions + Income'!$G$7</f>
        <v>0</v>
      </c>
      <c r="I34" s="148">
        <f>E34*F34</f>
        <v>0</v>
      </c>
      <c r="J34" s="105"/>
    </row>
    <row r="35" spans="1:12" ht="15" customHeight="1" x14ac:dyDescent="0.2">
      <c r="A35" s="144"/>
      <c r="B35" s="102"/>
      <c r="C35" s="79" t="s">
        <v>62</v>
      </c>
      <c r="D35" s="116" t="s">
        <v>23</v>
      </c>
      <c r="E35" s="118">
        <v>0</v>
      </c>
      <c r="F35" s="85">
        <v>1</v>
      </c>
      <c r="H35" s="124">
        <f>I35/'Assumptions + Income'!$G$7</f>
        <v>0</v>
      </c>
      <c r="I35" s="148">
        <f>E35*F35</f>
        <v>0</v>
      </c>
      <c r="J35" s="105"/>
    </row>
    <row r="36" spans="1:12" ht="4.9000000000000004" customHeight="1" thickBot="1" x14ac:dyDescent="0.25">
      <c r="A36" s="144"/>
      <c r="B36" s="102"/>
      <c r="C36" s="115"/>
      <c r="D36" s="160"/>
      <c r="E36" s="161"/>
      <c r="F36" s="86"/>
      <c r="G36" s="97"/>
      <c r="H36" s="154"/>
      <c r="I36" s="155"/>
      <c r="J36" s="105"/>
    </row>
    <row r="37" spans="1:12" ht="15" customHeight="1" thickTop="1" thickBot="1" x14ac:dyDescent="0.25">
      <c r="A37" s="144"/>
      <c r="B37" s="110"/>
      <c r="C37" s="81" t="s">
        <v>70</v>
      </c>
      <c r="D37" s="92"/>
      <c r="E37" s="92"/>
      <c r="F37" s="92"/>
      <c r="G37" s="92"/>
      <c r="H37" s="87">
        <f>SUM(H31:H36)</f>
        <v>0</v>
      </c>
      <c r="I37" s="88">
        <f>SUM(I31:I36)</f>
        <v>0</v>
      </c>
      <c r="J37" s="111"/>
    </row>
    <row r="39" spans="1:12" ht="15" customHeight="1" thickBot="1" x14ac:dyDescent="0.25">
      <c r="C39" s="140" t="s">
        <v>115</v>
      </c>
    </row>
    <row r="40" spans="1:12" ht="15" customHeight="1" x14ac:dyDescent="0.2">
      <c r="A40" s="144"/>
      <c r="B40" s="101"/>
      <c r="C40" s="89"/>
      <c r="D40" s="89"/>
      <c r="E40" s="89"/>
      <c r="F40" s="76" t="s">
        <v>3</v>
      </c>
      <c r="G40" s="89"/>
      <c r="H40" s="282" t="s">
        <v>4</v>
      </c>
      <c r="I40" s="282"/>
      <c r="J40" s="90"/>
    </row>
    <row r="41" spans="1:12" ht="15" customHeight="1" x14ac:dyDescent="0.2">
      <c r="A41" s="144"/>
      <c r="B41" s="102"/>
      <c r="C41" s="77" t="s">
        <v>5</v>
      </c>
      <c r="D41" s="83" t="s">
        <v>6</v>
      </c>
      <c r="E41" s="78" t="s">
        <v>65</v>
      </c>
      <c r="F41" s="78" t="s">
        <v>25</v>
      </c>
      <c r="G41" s="103"/>
      <c r="H41" s="104" t="s">
        <v>9</v>
      </c>
      <c r="I41" s="104" t="s">
        <v>10</v>
      </c>
      <c r="J41" s="105"/>
    </row>
    <row r="42" spans="1:12" ht="4.9000000000000004" customHeight="1" x14ac:dyDescent="0.2">
      <c r="A42" s="144"/>
      <c r="B42" s="102"/>
      <c r="C42" s="79"/>
      <c r="D42" s="116"/>
      <c r="E42" s="112"/>
      <c r="F42" s="112"/>
      <c r="G42" s="107"/>
      <c r="H42" s="112"/>
      <c r="I42" s="112"/>
      <c r="J42" s="105"/>
    </row>
    <row r="43" spans="1:12" ht="15" customHeight="1" x14ac:dyDescent="0.2">
      <c r="A43" s="144"/>
      <c r="B43" s="102"/>
      <c r="C43" s="79" t="s">
        <v>26</v>
      </c>
      <c r="D43" s="116" t="s">
        <v>116</v>
      </c>
      <c r="E43" s="162">
        <f>'Assumptions + Income'!G7</f>
        <v>200</v>
      </c>
      <c r="F43" s="121">
        <f>(5.1*3)+(1.38*2)</f>
        <v>18.059999999999999</v>
      </c>
      <c r="G43" s="163"/>
      <c r="H43" s="124">
        <f>I43/'Assumptions + Income'!$G$7</f>
        <v>18.059999999999999</v>
      </c>
      <c r="I43" s="84">
        <f>E43*F43</f>
        <v>3611.9999999999995</v>
      </c>
      <c r="J43" s="105"/>
      <c r="L43" s="255" t="s">
        <v>184</v>
      </c>
    </row>
    <row r="44" spans="1:12" ht="15" customHeight="1" x14ac:dyDescent="0.2">
      <c r="A44" s="144"/>
      <c r="B44" s="102"/>
      <c r="C44" s="79" t="s">
        <v>28</v>
      </c>
      <c r="D44" s="116" t="s">
        <v>117</v>
      </c>
      <c r="E44" s="162">
        <f>'Assumptions + Income'!G$7</f>
        <v>200</v>
      </c>
      <c r="F44" s="121">
        <v>6</v>
      </c>
      <c r="G44" s="163"/>
      <c r="H44" s="124">
        <f>I44/'Assumptions + Income'!$G$7</f>
        <v>6</v>
      </c>
      <c r="I44" s="84">
        <f>E44*F44</f>
        <v>1200</v>
      </c>
      <c r="J44" s="105"/>
      <c r="L44" s="255" t="s">
        <v>185</v>
      </c>
    </row>
    <row r="45" spans="1:12" ht="15" customHeight="1" x14ac:dyDescent="0.2">
      <c r="A45" s="144"/>
      <c r="B45" s="102"/>
      <c r="C45" s="79" t="s">
        <v>188</v>
      </c>
      <c r="D45" s="116" t="s">
        <v>117</v>
      </c>
      <c r="E45" s="162">
        <f>'Assumptions + Income'!G$7</f>
        <v>200</v>
      </c>
      <c r="F45" s="121">
        <f>25+18+30</f>
        <v>73</v>
      </c>
      <c r="G45" s="163"/>
      <c r="H45" s="124">
        <f>I45/'Assumptions + Income'!$G$7</f>
        <v>73</v>
      </c>
      <c r="I45" s="84">
        <f>E45*F45</f>
        <v>14600</v>
      </c>
      <c r="J45" s="105"/>
      <c r="L45" s="255" t="s">
        <v>189</v>
      </c>
    </row>
    <row r="46" spans="1:12" ht="15" customHeight="1" x14ac:dyDescent="0.2">
      <c r="A46" s="144"/>
      <c r="B46" s="102"/>
      <c r="C46" s="79" t="s">
        <v>29</v>
      </c>
      <c r="D46" s="116"/>
      <c r="E46" s="116"/>
      <c r="F46" s="116"/>
      <c r="G46" s="163"/>
      <c r="H46" s="124">
        <f>I46/'Assumptions + Income'!$G$7</f>
        <v>2.4</v>
      </c>
      <c r="I46" s="119">
        <f>40*12</f>
        <v>480</v>
      </c>
      <c r="J46" s="105"/>
      <c r="L46" s="139" t="s">
        <v>186</v>
      </c>
    </row>
    <row r="47" spans="1:12" ht="15" customHeight="1" x14ac:dyDescent="0.2">
      <c r="A47" s="144"/>
      <c r="B47" s="102"/>
      <c r="C47" s="79" t="s">
        <v>30</v>
      </c>
      <c r="D47" s="116" t="s">
        <v>117</v>
      </c>
      <c r="E47" s="164">
        <f>'Assumptions + Income'!G7</f>
        <v>200</v>
      </c>
      <c r="F47" s="121">
        <v>6.75</v>
      </c>
      <c r="G47" s="163"/>
      <c r="H47" s="124">
        <f>I47/'Assumptions + Income'!$G$7</f>
        <v>6.75</v>
      </c>
      <c r="I47" s="84">
        <f>E47*F47</f>
        <v>1350</v>
      </c>
      <c r="J47" s="105"/>
    </row>
    <row r="48" spans="1:12" ht="15" customHeight="1" x14ac:dyDescent="0.2">
      <c r="A48" s="144"/>
      <c r="B48" s="102"/>
      <c r="C48" s="79" t="s">
        <v>31</v>
      </c>
      <c r="D48" s="116" t="s">
        <v>118</v>
      </c>
      <c r="E48" s="164">
        <f>'Assumptions + Income'!M14</f>
        <v>8</v>
      </c>
      <c r="F48" s="121">
        <v>110</v>
      </c>
      <c r="G48" s="163"/>
      <c r="H48" s="124">
        <f>I48/'Assumptions + Income'!$G$7</f>
        <v>4.4000000000000004</v>
      </c>
      <c r="I48" s="84">
        <f>E48*F48</f>
        <v>880</v>
      </c>
      <c r="J48" s="105"/>
    </row>
    <row r="49" spans="1:12" ht="15" customHeight="1" x14ac:dyDescent="0.2">
      <c r="A49" s="144"/>
      <c r="B49" s="102"/>
      <c r="C49" s="79" t="s">
        <v>32</v>
      </c>
      <c r="D49" s="116"/>
      <c r="E49" s="116"/>
      <c r="F49" s="116"/>
      <c r="G49" s="163"/>
      <c r="H49" s="124">
        <f>I49/'Assumptions + Income'!$G$7</f>
        <v>4.5</v>
      </c>
      <c r="I49" s="119">
        <v>900</v>
      </c>
      <c r="J49" s="105"/>
      <c r="L49" s="139" t="s">
        <v>158</v>
      </c>
    </row>
    <row r="50" spans="1:12" ht="15" customHeight="1" x14ac:dyDescent="0.2">
      <c r="A50" s="144"/>
      <c r="B50" s="102"/>
      <c r="C50" s="139" t="s">
        <v>62</v>
      </c>
      <c r="D50" s="116"/>
      <c r="E50" s="116"/>
      <c r="F50" s="116"/>
      <c r="G50" s="163"/>
      <c r="H50" s="124">
        <f>I50/'Assumptions + Income'!$G$7</f>
        <v>1.75</v>
      </c>
      <c r="I50" s="119">
        <f>175*2</f>
        <v>350</v>
      </c>
      <c r="J50" s="105"/>
      <c r="L50" s="139" t="s">
        <v>187</v>
      </c>
    </row>
    <row r="51" spans="1:12" ht="4.9000000000000004" customHeight="1" thickBot="1" x14ac:dyDescent="0.25">
      <c r="A51" s="144"/>
      <c r="B51" s="102"/>
      <c r="C51" s="115"/>
      <c r="D51" s="165"/>
      <c r="E51" s="166"/>
      <c r="F51" s="167"/>
      <c r="G51" s="97"/>
      <c r="H51" s="154"/>
      <c r="I51" s="120"/>
      <c r="J51" s="105"/>
    </row>
    <row r="52" spans="1:12" ht="15" customHeight="1" thickTop="1" thickBot="1" x14ac:dyDescent="0.25">
      <c r="A52" s="144"/>
      <c r="B52" s="110"/>
      <c r="C52" s="81" t="s">
        <v>33</v>
      </c>
      <c r="D52" s="92"/>
      <c r="E52" s="92"/>
      <c r="F52" s="92"/>
      <c r="G52" s="92"/>
      <c r="H52" s="93">
        <f>SUM(H43:H51)</f>
        <v>116.86000000000001</v>
      </c>
      <c r="I52" s="249">
        <f>SUM(I43:I51)</f>
        <v>23372</v>
      </c>
      <c r="J52" s="111"/>
    </row>
    <row r="54" spans="1:12" ht="15" customHeight="1" thickBot="1" x14ac:dyDescent="0.25">
      <c r="C54" s="140" t="s">
        <v>119</v>
      </c>
    </row>
    <row r="55" spans="1:12" ht="15" customHeight="1" x14ac:dyDescent="0.2">
      <c r="A55" s="138"/>
      <c r="B55" s="101"/>
      <c r="C55" s="89"/>
      <c r="D55" s="89"/>
      <c r="E55" s="89"/>
      <c r="F55" s="76" t="s">
        <v>3</v>
      </c>
      <c r="G55" s="89"/>
      <c r="H55" s="282" t="s">
        <v>4</v>
      </c>
      <c r="I55" s="282"/>
      <c r="J55" s="90"/>
    </row>
    <row r="56" spans="1:12" ht="15" customHeight="1" x14ac:dyDescent="0.2">
      <c r="A56" s="138"/>
      <c r="B56" s="102"/>
      <c r="C56" s="77" t="s">
        <v>5</v>
      </c>
      <c r="D56" s="83" t="s">
        <v>6</v>
      </c>
      <c r="E56" s="78" t="s">
        <v>65</v>
      </c>
      <c r="F56" s="78" t="s">
        <v>25</v>
      </c>
      <c r="G56" s="103"/>
      <c r="H56" s="104" t="s">
        <v>9</v>
      </c>
      <c r="I56" s="104" t="s">
        <v>10</v>
      </c>
      <c r="J56" s="105"/>
    </row>
    <row r="57" spans="1:12" ht="4.9000000000000004" customHeight="1" x14ac:dyDescent="0.2">
      <c r="A57" s="138"/>
      <c r="B57" s="102"/>
      <c r="C57" s="79"/>
      <c r="D57" s="116"/>
      <c r="E57" s="112"/>
      <c r="F57" s="112"/>
      <c r="G57" s="107"/>
      <c r="H57" s="112"/>
      <c r="I57" s="112"/>
      <c r="J57" s="105"/>
    </row>
    <row r="58" spans="1:12" ht="15" customHeight="1" x14ac:dyDescent="0.2">
      <c r="A58" s="138"/>
      <c r="B58" s="102"/>
      <c r="C58" s="79" t="s">
        <v>35</v>
      </c>
      <c r="D58" s="168" t="s">
        <v>27</v>
      </c>
      <c r="E58" s="162">
        <f>'Assumptions + Income'!$G$7</f>
        <v>200</v>
      </c>
      <c r="F58" s="121">
        <v>5</v>
      </c>
      <c r="G58" s="163"/>
      <c r="H58" s="124">
        <f>I58/'Assumptions + Income'!$G$7</f>
        <v>5</v>
      </c>
      <c r="I58" s="84">
        <f>E58*F58</f>
        <v>1000</v>
      </c>
      <c r="J58" s="105"/>
    </row>
    <row r="59" spans="1:12" ht="15" customHeight="1" x14ac:dyDescent="0.2">
      <c r="A59" s="138"/>
      <c r="B59" s="102"/>
      <c r="C59" s="79" t="s">
        <v>36</v>
      </c>
      <c r="D59" s="168"/>
      <c r="E59" s="170"/>
      <c r="F59" s="169"/>
      <c r="G59" s="163"/>
      <c r="H59" s="124">
        <f>I59/'Assumptions + Income'!$G$7</f>
        <v>0</v>
      </c>
      <c r="I59" s="119">
        <v>0</v>
      </c>
      <c r="J59" s="105"/>
    </row>
    <row r="60" spans="1:12" ht="15" customHeight="1" x14ac:dyDescent="0.2">
      <c r="A60" s="138"/>
      <c r="B60" s="102"/>
      <c r="C60" s="79" t="s">
        <v>37</v>
      </c>
      <c r="D60" s="168" t="s">
        <v>27</v>
      </c>
      <c r="E60" s="162">
        <f>'Assumptions + Income'!$G$7</f>
        <v>200</v>
      </c>
      <c r="F60" s="121">
        <v>2</v>
      </c>
      <c r="G60" s="163"/>
      <c r="H60" s="124">
        <f>I60/'Assumptions + Income'!$G$7</f>
        <v>2</v>
      </c>
      <c r="I60" s="84">
        <f>E60*F60</f>
        <v>400</v>
      </c>
      <c r="J60" s="105"/>
      <c r="L60" s="139" t="s">
        <v>190</v>
      </c>
    </row>
    <row r="61" spans="1:12" ht="15" customHeight="1" x14ac:dyDescent="0.2">
      <c r="A61" s="138"/>
      <c r="B61" s="102"/>
      <c r="C61" s="79" t="s">
        <v>62</v>
      </c>
      <c r="D61" s="168"/>
      <c r="E61" s="170"/>
      <c r="F61" s="169"/>
      <c r="G61" s="163"/>
      <c r="H61" s="124">
        <f>I61/'Assumptions + Income'!$G$7</f>
        <v>50</v>
      </c>
      <c r="I61" s="119">
        <v>10000</v>
      </c>
      <c r="J61" s="105"/>
      <c r="L61" s="139" t="s">
        <v>191</v>
      </c>
    </row>
    <row r="62" spans="1:12" ht="4.9000000000000004" customHeight="1" thickBot="1" x14ac:dyDescent="0.25">
      <c r="A62" s="138"/>
      <c r="B62" s="102"/>
      <c r="C62" s="80"/>
      <c r="D62" s="165"/>
      <c r="E62" s="166"/>
      <c r="F62" s="167"/>
      <c r="G62" s="171"/>
      <c r="H62" s="109"/>
      <c r="I62" s="91"/>
      <c r="J62" s="105"/>
    </row>
    <row r="63" spans="1:12" ht="15" customHeight="1" thickTop="1" thickBot="1" x14ac:dyDescent="0.25">
      <c r="A63" s="138"/>
      <c r="B63" s="110"/>
      <c r="C63" s="81" t="s">
        <v>38</v>
      </c>
      <c r="D63" s="92"/>
      <c r="E63" s="92"/>
      <c r="F63" s="92"/>
      <c r="G63" s="92"/>
      <c r="H63" s="93">
        <f>SUM(H58:H62)</f>
        <v>57</v>
      </c>
      <c r="I63" s="94">
        <f>SUM(I58:I62)</f>
        <v>11400</v>
      </c>
      <c r="J63" s="111"/>
    </row>
    <row r="65" spans="1:12" ht="15" customHeight="1" thickBot="1" x14ac:dyDescent="0.25">
      <c r="C65" s="140" t="s">
        <v>120</v>
      </c>
    </row>
    <row r="66" spans="1:12" ht="15" customHeight="1" x14ac:dyDescent="0.2">
      <c r="A66" s="138"/>
      <c r="B66" s="101"/>
      <c r="C66" s="89"/>
      <c r="D66" s="89"/>
      <c r="E66" s="89"/>
      <c r="F66" s="76" t="s">
        <v>3</v>
      </c>
      <c r="G66" s="89"/>
      <c r="H66" s="282" t="s">
        <v>4</v>
      </c>
      <c r="I66" s="282"/>
      <c r="J66" s="90"/>
    </row>
    <row r="67" spans="1:12" ht="15" customHeight="1" x14ac:dyDescent="0.2">
      <c r="A67" s="138"/>
      <c r="B67" s="102"/>
      <c r="C67" s="77" t="s">
        <v>5</v>
      </c>
      <c r="D67" s="83" t="s">
        <v>6</v>
      </c>
      <c r="E67" s="78" t="s">
        <v>65</v>
      </c>
      <c r="F67" s="78" t="s">
        <v>25</v>
      </c>
      <c r="G67" s="103"/>
      <c r="H67" s="104" t="s">
        <v>9</v>
      </c>
      <c r="I67" s="104" t="s">
        <v>10</v>
      </c>
      <c r="J67" s="105"/>
    </row>
    <row r="68" spans="1:12" ht="15" customHeight="1" x14ac:dyDescent="0.2">
      <c r="A68" s="138"/>
      <c r="B68" s="102"/>
      <c r="C68" s="79"/>
      <c r="D68" s="116"/>
      <c r="E68" s="112"/>
      <c r="F68" s="112"/>
      <c r="G68" s="107"/>
      <c r="H68" s="112"/>
      <c r="I68" s="112"/>
      <c r="J68" s="105"/>
      <c r="L68" s="139" t="s">
        <v>192</v>
      </c>
    </row>
    <row r="69" spans="1:12" ht="15" customHeight="1" x14ac:dyDescent="0.2">
      <c r="A69" s="138"/>
      <c r="B69" s="102"/>
      <c r="C69" s="79" t="s">
        <v>40</v>
      </c>
      <c r="D69" s="116" t="s">
        <v>121</v>
      </c>
      <c r="E69" s="119">
        <v>375</v>
      </c>
      <c r="F69" s="121">
        <v>6.8</v>
      </c>
      <c r="G69" s="163"/>
      <c r="H69" s="124">
        <f>I69/'Assumptions + Income'!$G$7</f>
        <v>12.75</v>
      </c>
      <c r="I69" s="84">
        <f>E69*F69</f>
        <v>2550</v>
      </c>
      <c r="J69" s="105"/>
      <c r="L69" s="139" t="s">
        <v>194</v>
      </c>
    </row>
    <row r="70" spans="1:12" ht="15" customHeight="1" x14ac:dyDescent="0.2">
      <c r="A70" s="138"/>
      <c r="B70" s="102"/>
      <c r="C70" s="79" t="s">
        <v>41</v>
      </c>
      <c r="D70" s="116" t="s">
        <v>23</v>
      </c>
      <c r="E70" s="162">
        <f>'Assumptions + Income'!L36</f>
        <v>394270</v>
      </c>
      <c r="F70" s="122">
        <v>0.02</v>
      </c>
      <c r="G70" s="163"/>
      <c r="H70" s="124">
        <f>I70/'Assumptions + Income'!$G$7</f>
        <v>39.427</v>
      </c>
      <c r="I70" s="84">
        <f>E70*F70</f>
        <v>7885.4000000000005</v>
      </c>
      <c r="J70" s="105"/>
    </row>
    <row r="71" spans="1:12" ht="15" customHeight="1" x14ac:dyDescent="0.2">
      <c r="A71" s="138"/>
      <c r="B71" s="102"/>
      <c r="C71" s="79" t="s">
        <v>193</v>
      </c>
      <c r="D71" s="116" t="s">
        <v>0</v>
      </c>
      <c r="E71" s="162">
        <f>'Assumptions + Income'!D36</f>
        <v>171</v>
      </c>
      <c r="F71" s="121">
        <v>1.5</v>
      </c>
      <c r="G71" s="163"/>
      <c r="H71" s="124">
        <f>I71/'Assumptions + Income'!$G$7</f>
        <v>1.2825</v>
      </c>
      <c r="I71" s="84">
        <f>E71*F71</f>
        <v>256.5</v>
      </c>
      <c r="J71" s="105"/>
    </row>
    <row r="72" spans="1:12" ht="15" customHeight="1" x14ac:dyDescent="0.2">
      <c r="A72" s="138"/>
      <c r="B72" s="102"/>
      <c r="C72" s="79" t="s">
        <v>42</v>
      </c>
      <c r="D72" s="168" t="s">
        <v>0</v>
      </c>
      <c r="E72" s="162">
        <f>'Assumptions + Income'!D36</f>
        <v>171</v>
      </c>
      <c r="F72" s="121">
        <v>1.5</v>
      </c>
      <c r="G72" s="163"/>
      <c r="H72" s="124">
        <f>I72/'Assumptions + Income'!$G$7</f>
        <v>1.2825</v>
      </c>
      <c r="I72" s="84">
        <f>E72*F72</f>
        <v>256.5</v>
      </c>
      <c r="J72" s="105"/>
    </row>
    <row r="73" spans="1:12" ht="15" customHeight="1" x14ac:dyDescent="0.2">
      <c r="A73" s="138"/>
      <c r="B73" s="102"/>
      <c r="C73" s="79" t="s">
        <v>43</v>
      </c>
      <c r="D73" s="168" t="s">
        <v>0</v>
      </c>
      <c r="E73" s="162">
        <f>'Assumptions + Income'!D36</f>
        <v>171</v>
      </c>
      <c r="F73" s="121">
        <v>0.4</v>
      </c>
      <c r="G73" s="163"/>
      <c r="H73" s="124">
        <f>I73/'Assumptions + Income'!$G$7</f>
        <v>0.34200000000000003</v>
      </c>
      <c r="I73" s="84">
        <f>E73*F73</f>
        <v>68.400000000000006</v>
      </c>
      <c r="J73" s="105"/>
      <c r="L73" s="139" t="s">
        <v>164</v>
      </c>
    </row>
    <row r="74" spans="1:12" ht="15" customHeight="1" x14ac:dyDescent="0.2">
      <c r="A74" s="138"/>
      <c r="B74" s="102"/>
      <c r="C74" s="79" t="s">
        <v>44</v>
      </c>
      <c r="D74" s="168"/>
      <c r="E74" s="170"/>
      <c r="F74" s="96"/>
      <c r="G74" s="163"/>
      <c r="H74" s="124">
        <f>I74/'Assumptions + Income'!$G$7</f>
        <v>0</v>
      </c>
      <c r="I74" s="119">
        <v>0</v>
      </c>
      <c r="J74" s="105"/>
    </row>
    <row r="75" spans="1:12" ht="15" customHeight="1" x14ac:dyDescent="0.2">
      <c r="A75" s="138"/>
      <c r="B75" s="102"/>
      <c r="C75" s="79" t="s">
        <v>45</v>
      </c>
      <c r="D75" s="173"/>
      <c r="E75" s="170"/>
      <c r="F75" s="169"/>
      <c r="G75" s="163"/>
      <c r="H75" s="124">
        <f>I75/'Assumptions + Income'!$G$7</f>
        <v>0</v>
      </c>
      <c r="I75" s="119">
        <v>0</v>
      </c>
      <c r="J75" s="105"/>
    </row>
    <row r="76" spans="1:12" ht="15" customHeight="1" x14ac:dyDescent="0.2">
      <c r="A76" s="138"/>
      <c r="B76" s="102"/>
      <c r="C76" s="79" t="s">
        <v>62</v>
      </c>
      <c r="D76" s="173"/>
      <c r="E76" s="170"/>
      <c r="F76" s="169"/>
      <c r="G76" s="163"/>
      <c r="H76" s="124">
        <f>I76/'Assumptions + Income'!$G$7</f>
        <v>44.174999999999997</v>
      </c>
      <c r="I76" s="119">
        <f>(98*90)+15</f>
        <v>8835</v>
      </c>
      <c r="J76" s="105"/>
      <c r="L76" s="139" t="s">
        <v>195</v>
      </c>
    </row>
    <row r="77" spans="1:12" ht="4.9000000000000004" customHeight="1" thickBot="1" x14ac:dyDescent="0.25">
      <c r="A77" s="138"/>
      <c r="B77" s="102"/>
      <c r="C77" s="80"/>
      <c r="D77" s="174"/>
      <c r="E77" s="175"/>
      <c r="F77" s="176"/>
      <c r="G77" s="171"/>
      <c r="H77" s="109"/>
      <c r="I77" s="91"/>
      <c r="J77" s="105"/>
    </row>
    <row r="78" spans="1:12" ht="15" customHeight="1" thickTop="1" thickBot="1" x14ac:dyDescent="0.25">
      <c r="A78" s="138"/>
      <c r="B78" s="110"/>
      <c r="C78" s="81" t="s">
        <v>46</v>
      </c>
      <c r="D78" s="92"/>
      <c r="E78" s="92"/>
      <c r="F78" s="92"/>
      <c r="G78" s="92"/>
      <c r="H78" s="93">
        <f>SUM(H69:H73)</f>
        <v>55.083999999999996</v>
      </c>
      <c r="I78" s="94">
        <f>SUM(I69:I73)</f>
        <v>11016.800000000001</v>
      </c>
      <c r="J78" s="111"/>
    </row>
    <row r="80" spans="1:12" ht="15" customHeight="1" thickBot="1" x14ac:dyDescent="0.25">
      <c r="C80" s="140" t="s">
        <v>47</v>
      </c>
    </row>
    <row r="81" spans="1:10" ht="15" customHeight="1" x14ac:dyDescent="0.2">
      <c r="A81" s="144"/>
      <c r="B81" s="101"/>
      <c r="C81" s="89"/>
      <c r="D81" s="95"/>
      <c r="E81" s="89"/>
      <c r="F81" s="76"/>
      <c r="G81" s="89"/>
      <c r="H81" s="282" t="s">
        <v>4</v>
      </c>
      <c r="I81" s="282"/>
      <c r="J81" s="90"/>
    </row>
    <row r="82" spans="1:10" ht="15" customHeight="1" x14ac:dyDescent="0.2">
      <c r="A82" s="144"/>
      <c r="B82" s="102"/>
      <c r="C82" s="77" t="s">
        <v>5</v>
      </c>
      <c r="D82" s="83"/>
      <c r="E82" s="78"/>
      <c r="F82" s="78"/>
      <c r="G82" s="103"/>
      <c r="H82" s="104" t="s">
        <v>9</v>
      </c>
      <c r="I82" s="104" t="s">
        <v>10</v>
      </c>
      <c r="J82" s="105"/>
    </row>
    <row r="83" spans="1:10" ht="4.9000000000000004" customHeight="1" x14ac:dyDescent="0.2">
      <c r="A83" s="144"/>
      <c r="B83" s="102"/>
      <c r="C83" s="79"/>
      <c r="D83" s="116"/>
      <c r="E83" s="112"/>
      <c r="F83" s="112"/>
      <c r="G83" s="107"/>
      <c r="H83" s="112"/>
      <c r="I83" s="112"/>
      <c r="J83" s="105"/>
    </row>
    <row r="84" spans="1:10" ht="15" customHeight="1" x14ac:dyDescent="0.2">
      <c r="A84" s="144"/>
      <c r="B84" s="102"/>
      <c r="C84" s="79" t="s">
        <v>48</v>
      </c>
      <c r="D84" s="173"/>
      <c r="E84" s="170"/>
      <c r="F84" s="169"/>
      <c r="G84" s="163"/>
      <c r="H84" s="124">
        <f>I84/'Assumptions + Income'!$G$7</f>
        <v>50</v>
      </c>
      <c r="I84" s="119">
        <v>10000</v>
      </c>
      <c r="J84" s="105"/>
    </row>
    <row r="85" spans="1:10" ht="15" customHeight="1" x14ac:dyDescent="0.2">
      <c r="A85" s="144"/>
      <c r="B85" s="102"/>
      <c r="C85" s="79" t="s">
        <v>49</v>
      </c>
      <c r="D85" s="173"/>
      <c r="E85" s="170"/>
      <c r="F85" s="169"/>
      <c r="G85" s="163"/>
      <c r="H85" s="124">
        <f>I85/'Assumptions + Income'!$G$7</f>
        <v>0</v>
      </c>
      <c r="I85" s="119">
        <v>0</v>
      </c>
      <c r="J85" s="105"/>
    </row>
    <row r="86" spans="1:10" ht="15" customHeight="1" x14ac:dyDescent="0.2">
      <c r="A86" s="144"/>
      <c r="B86" s="102"/>
      <c r="C86" s="79" t="s">
        <v>50</v>
      </c>
      <c r="D86" s="173"/>
      <c r="E86" s="170"/>
      <c r="F86" s="169"/>
      <c r="G86" s="163"/>
      <c r="H86" s="124">
        <f>I86/'Assumptions + Income'!$G$7</f>
        <v>0</v>
      </c>
      <c r="I86" s="119">
        <v>0</v>
      </c>
      <c r="J86" s="105"/>
    </row>
    <row r="87" spans="1:10" ht="15" customHeight="1" x14ac:dyDescent="0.2">
      <c r="A87" s="144"/>
      <c r="B87" s="102"/>
      <c r="C87" s="79" t="s">
        <v>51</v>
      </c>
      <c r="D87" s="173"/>
      <c r="E87" s="170"/>
      <c r="F87" s="169"/>
      <c r="G87" s="163"/>
      <c r="H87" s="124">
        <f>I87/'Assumptions + Income'!$G$7</f>
        <v>0</v>
      </c>
      <c r="I87" s="119">
        <v>0</v>
      </c>
      <c r="J87" s="105"/>
    </row>
    <row r="88" spans="1:10" ht="15" customHeight="1" x14ac:dyDescent="0.2">
      <c r="A88" s="144"/>
      <c r="B88" s="102"/>
      <c r="C88" s="79" t="s">
        <v>62</v>
      </c>
      <c r="D88" s="173"/>
      <c r="E88" s="170"/>
      <c r="F88" s="169"/>
      <c r="G88" s="163"/>
      <c r="H88" s="124">
        <f>I88/'Assumptions + Income'!$G$7</f>
        <v>0</v>
      </c>
      <c r="I88" s="119">
        <v>0</v>
      </c>
      <c r="J88" s="105"/>
    </row>
    <row r="89" spans="1:10" ht="4.9000000000000004" customHeight="1" thickBot="1" x14ac:dyDescent="0.25">
      <c r="A89" s="144"/>
      <c r="B89" s="102"/>
      <c r="C89" s="115"/>
      <c r="D89" s="151"/>
      <c r="E89" s="175"/>
      <c r="F89" s="97"/>
      <c r="G89" s="97"/>
      <c r="H89" s="154"/>
      <c r="I89" s="120"/>
      <c r="J89" s="105"/>
    </row>
    <row r="90" spans="1:10" ht="15" customHeight="1" thickTop="1" thickBot="1" x14ac:dyDescent="0.25">
      <c r="A90" s="144"/>
      <c r="B90" s="110"/>
      <c r="C90" s="81" t="s">
        <v>68</v>
      </c>
      <c r="D90" s="92"/>
      <c r="E90" s="92"/>
      <c r="F90" s="92"/>
      <c r="G90" s="92"/>
      <c r="H90" s="93">
        <f>SUM(H84:H89)</f>
        <v>50</v>
      </c>
      <c r="I90" s="94">
        <f>SUM(I84:I89)</f>
        <v>10000</v>
      </c>
      <c r="J90" s="111"/>
    </row>
    <row r="92" spans="1:10" ht="15" customHeight="1" thickBot="1" x14ac:dyDescent="0.25">
      <c r="C92" s="140" t="s">
        <v>122</v>
      </c>
    </row>
    <row r="93" spans="1:10" ht="15" customHeight="1" x14ac:dyDescent="0.2">
      <c r="A93" s="138"/>
      <c r="B93" s="101"/>
      <c r="C93" s="89"/>
      <c r="D93" s="89"/>
      <c r="E93" s="89"/>
      <c r="F93" s="76"/>
      <c r="G93" s="89"/>
      <c r="H93" s="282" t="s">
        <v>4</v>
      </c>
      <c r="I93" s="282"/>
      <c r="J93" s="90"/>
    </row>
    <row r="94" spans="1:10" ht="15" customHeight="1" x14ac:dyDescent="0.2">
      <c r="A94" s="138"/>
      <c r="B94" s="102"/>
      <c r="C94" s="77" t="s">
        <v>5</v>
      </c>
      <c r="D94" s="83"/>
      <c r="E94" s="78"/>
      <c r="F94" s="78"/>
      <c r="G94" s="103"/>
      <c r="H94" s="104" t="s">
        <v>9</v>
      </c>
      <c r="I94" s="104" t="s">
        <v>10</v>
      </c>
      <c r="J94" s="105"/>
    </row>
    <row r="95" spans="1:10" ht="4.9000000000000004" customHeight="1" x14ac:dyDescent="0.2">
      <c r="A95" s="138"/>
      <c r="B95" s="102"/>
      <c r="C95" s="79"/>
      <c r="D95" s="116"/>
      <c r="E95" s="112"/>
      <c r="F95" s="112"/>
      <c r="G95" s="107"/>
      <c r="H95" s="112"/>
      <c r="I95" s="112"/>
      <c r="J95" s="105"/>
    </row>
    <row r="96" spans="1:10" ht="15" customHeight="1" x14ac:dyDescent="0.2">
      <c r="A96" s="138"/>
      <c r="B96" s="102"/>
      <c r="C96" s="79" t="s">
        <v>53</v>
      </c>
      <c r="D96" s="173"/>
      <c r="E96" s="170"/>
      <c r="F96" s="169"/>
      <c r="G96" s="163"/>
      <c r="H96" s="124">
        <f>I96/'Assumptions + Income'!$G$7</f>
        <v>250</v>
      </c>
      <c r="I96" s="119">
        <v>50000</v>
      </c>
      <c r="J96" s="105"/>
    </row>
    <row r="97" spans="1:12" ht="15" customHeight="1" x14ac:dyDescent="0.2">
      <c r="A97" s="138"/>
      <c r="B97" s="102"/>
      <c r="C97" s="79" t="s">
        <v>54</v>
      </c>
      <c r="E97" s="170"/>
      <c r="F97" s="172">
        <v>0.08</v>
      </c>
      <c r="G97" s="163"/>
      <c r="H97" s="124">
        <f>I97/'Assumptions + Income'!$G$7</f>
        <v>20</v>
      </c>
      <c r="I97" s="162">
        <f>I96*F97</f>
        <v>4000</v>
      </c>
      <c r="J97" s="105"/>
    </row>
    <row r="98" spans="1:12" ht="15" customHeight="1" x14ac:dyDescent="0.2">
      <c r="A98" s="138"/>
      <c r="B98" s="102"/>
      <c r="C98" s="79" t="s">
        <v>123</v>
      </c>
      <c r="D98" s="177"/>
      <c r="E98" s="170"/>
      <c r="F98" s="169"/>
      <c r="G98" s="163"/>
      <c r="H98" s="124">
        <f>I98/'Assumptions + Income'!$G$7</f>
        <v>30</v>
      </c>
      <c r="I98" s="119">
        <v>6000</v>
      </c>
      <c r="J98" s="105"/>
      <c r="L98" s="139" t="s">
        <v>196</v>
      </c>
    </row>
    <row r="99" spans="1:12" ht="15" customHeight="1" x14ac:dyDescent="0.2">
      <c r="A99" s="138"/>
      <c r="B99" s="102"/>
      <c r="C99" s="79" t="s">
        <v>55</v>
      </c>
      <c r="D99" s="173"/>
      <c r="E99" s="170"/>
      <c r="F99" s="169"/>
      <c r="G99" s="163"/>
      <c r="H99" s="124">
        <f>I99/'Assumptions + Income'!$G$7</f>
        <v>0</v>
      </c>
      <c r="I99" s="119">
        <v>0</v>
      </c>
      <c r="J99" s="105"/>
    </row>
    <row r="100" spans="1:12" ht="15" customHeight="1" x14ac:dyDescent="0.2">
      <c r="A100" s="138"/>
      <c r="B100" s="102"/>
      <c r="C100" s="79" t="s">
        <v>56</v>
      </c>
      <c r="D100" s="173"/>
      <c r="E100" s="170"/>
      <c r="F100" s="169"/>
      <c r="G100" s="163"/>
      <c r="H100" s="124">
        <f>I100/'Assumptions + Income'!$G$7</f>
        <v>0</v>
      </c>
      <c r="I100" s="119">
        <v>0</v>
      </c>
      <c r="J100" s="105"/>
    </row>
    <row r="101" spans="1:12" ht="15" customHeight="1" x14ac:dyDescent="0.2">
      <c r="A101" s="138"/>
      <c r="B101" s="102"/>
      <c r="C101" s="79" t="s">
        <v>57</v>
      </c>
      <c r="D101" s="173"/>
      <c r="E101" s="170"/>
      <c r="F101" s="169"/>
      <c r="G101" s="163"/>
      <c r="H101" s="124">
        <f>I101/'Assumptions + Income'!$G$7</f>
        <v>0</v>
      </c>
      <c r="I101" s="119">
        <v>0</v>
      </c>
      <c r="J101" s="105"/>
    </row>
    <row r="102" spans="1:12" ht="15" customHeight="1" x14ac:dyDescent="0.2">
      <c r="A102" s="138"/>
      <c r="B102" s="102"/>
      <c r="C102" s="79" t="s">
        <v>62</v>
      </c>
      <c r="D102" s="173"/>
      <c r="E102" s="170"/>
      <c r="F102" s="169"/>
      <c r="G102" s="163"/>
      <c r="H102" s="124">
        <f>I102/'Assumptions + Income'!$G$7</f>
        <v>75</v>
      </c>
      <c r="I102" s="119">
        <v>15000</v>
      </c>
      <c r="J102" s="105"/>
    </row>
    <row r="103" spans="1:12" ht="4.9000000000000004" customHeight="1" thickBot="1" x14ac:dyDescent="0.25">
      <c r="A103" s="138"/>
      <c r="B103" s="102"/>
      <c r="C103" s="115"/>
      <c r="D103" s="160"/>
      <c r="E103" s="178"/>
      <c r="F103" s="99"/>
      <c r="G103" s="179"/>
      <c r="H103" s="154"/>
      <c r="I103" s="123"/>
      <c r="J103" s="105"/>
    </row>
    <row r="104" spans="1:12" ht="15" customHeight="1" thickTop="1" thickBot="1" x14ac:dyDescent="0.25">
      <c r="A104" s="138"/>
      <c r="B104" s="110"/>
      <c r="C104" s="81" t="s">
        <v>67</v>
      </c>
      <c r="D104" s="92"/>
      <c r="E104" s="92"/>
      <c r="F104" s="92"/>
      <c r="G104" s="92"/>
      <c r="H104" s="93">
        <f>SUM(H96:H103)</f>
        <v>375</v>
      </c>
      <c r="I104" s="94">
        <f>SUM(I96:I103)</f>
        <v>75000</v>
      </c>
      <c r="J104" s="111"/>
    </row>
    <row r="106" spans="1:12" ht="15" customHeight="1" thickBot="1" x14ac:dyDescent="0.25">
      <c r="C106" s="140" t="s">
        <v>124</v>
      </c>
    </row>
    <row r="107" spans="1:12" ht="15" customHeight="1" x14ac:dyDescent="0.2">
      <c r="A107" s="138"/>
      <c r="B107" s="101"/>
      <c r="C107" s="89"/>
      <c r="D107" s="89"/>
      <c r="E107" s="95" t="s">
        <v>141</v>
      </c>
      <c r="F107" s="76"/>
      <c r="G107" s="89"/>
      <c r="H107" s="282" t="s">
        <v>4</v>
      </c>
      <c r="I107" s="282"/>
      <c r="J107" s="90"/>
    </row>
    <row r="108" spans="1:12" ht="15" customHeight="1" x14ac:dyDescent="0.2">
      <c r="A108" s="138"/>
      <c r="B108" s="102"/>
      <c r="C108" s="77" t="s">
        <v>5</v>
      </c>
      <c r="D108" s="83" t="s">
        <v>99</v>
      </c>
      <c r="E108" s="83" t="s">
        <v>142</v>
      </c>
      <c r="F108" s="83" t="s">
        <v>66</v>
      </c>
      <c r="G108" s="103"/>
      <c r="H108" s="104" t="s">
        <v>9</v>
      </c>
      <c r="I108" s="104" t="s">
        <v>10</v>
      </c>
      <c r="J108" s="105"/>
    </row>
    <row r="109" spans="1:12" ht="4.9000000000000004" customHeight="1" x14ac:dyDescent="0.2">
      <c r="A109" s="138"/>
      <c r="B109" s="102"/>
      <c r="C109" s="79"/>
      <c r="D109" s="116"/>
      <c r="E109" s="112"/>
      <c r="F109" s="112"/>
      <c r="G109" s="107"/>
      <c r="H109" s="112"/>
      <c r="I109" s="112"/>
      <c r="J109" s="105"/>
    </row>
    <row r="110" spans="1:12" ht="15" customHeight="1" x14ac:dyDescent="0.2">
      <c r="A110" s="138"/>
      <c r="B110" s="102"/>
      <c r="C110" s="79" t="s">
        <v>125</v>
      </c>
      <c r="D110" s="106">
        <f>(I14+I25+I37+I52+I63+I78+I90+I104)</f>
        <v>264581.8</v>
      </c>
      <c r="E110" s="125">
        <v>0.5</v>
      </c>
      <c r="F110" s="122">
        <v>8.2500000000000004E-2</v>
      </c>
      <c r="G110" s="107"/>
      <c r="H110" s="124">
        <f>I110/'Assumptions + Income'!$G$7</f>
        <v>54.569996250000003</v>
      </c>
      <c r="I110" s="98">
        <f>D110*E110*F110</f>
        <v>10913.999250000001</v>
      </c>
      <c r="J110" s="105"/>
    </row>
    <row r="111" spans="1:12" ht="15" customHeight="1" x14ac:dyDescent="0.2">
      <c r="A111" s="138"/>
      <c r="B111" s="102"/>
      <c r="C111" s="79" t="s">
        <v>126</v>
      </c>
      <c r="E111" s="180"/>
      <c r="F111" s="177"/>
      <c r="G111" s="107"/>
      <c r="H111" s="124">
        <f>I111/'Assumptions + Income'!$G$7</f>
        <v>0</v>
      </c>
      <c r="I111" s="119">
        <v>0</v>
      </c>
      <c r="J111" s="105"/>
    </row>
    <row r="112" spans="1:12" ht="15" customHeight="1" x14ac:dyDescent="0.2">
      <c r="A112" s="138"/>
      <c r="B112" s="102"/>
      <c r="C112" s="79" t="s">
        <v>127</v>
      </c>
      <c r="E112" s="180"/>
      <c r="F112" s="177"/>
      <c r="G112" s="107"/>
      <c r="H112" s="124">
        <f>I112/'Assumptions + Income'!$G$7</f>
        <v>0</v>
      </c>
      <c r="I112" s="119">
        <v>0</v>
      </c>
      <c r="J112" s="105"/>
    </row>
    <row r="113" spans="1:16" ht="15" customHeight="1" x14ac:dyDescent="0.2">
      <c r="A113" s="138"/>
      <c r="B113" s="102"/>
      <c r="C113" s="79" t="s">
        <v>63</v>
      </c>
      <c r="E113" s="180"/>
      <c r="F113" s="177"/>
      <c r="G113" s="107"/>
      <c r="H113" s="124">
        <f>I113/'Assumptions + Income'!$G$7</f>
        <v>0</v>
      </c>
      <c r="I113" s="119">
        <v>0</v>
      </c>
      <c r="J113" s="105"/>
    </row>
    <row r="114" spans="1:16" ht="4.9000000000000004" customHeight="1" thickBot="1" x14ac:dyDescent="0.25">
      <c r="A114" s="138"/>
      <c r="B114" s="102"/>
      <c r="C114" s="80"/>
      <c r="D114" s="181"/>
      <c r="E114" s="182"/>
      <c r="F114" s="183"/>
      <c r="G114" s="108"/>
      <c r="H114" s="109"/>
      <c r="I114" s="100"/>
      <c r="J114" s="105"/>
    </row>
    <row r="115" spans="1:16" ht="15" customHeight="1" thickTop="1" thickBot="1" x14ac:dyDescent="0.25">
      <c r="A115" s="138"/>
      <c r="B115" s="110"/>
      <c r="C115" s="81" t="s">
        <v>69</v>
      </c>
      <c r="D115" s="92"/>
      <c r="E115" s="92"/>
      <c r="F115" s="92"/>
      <c r="G115" s="92"/>
      <c r="H115" s="93">
        <f>SUM(H110:H114)</f>
        <v>54.569996250000003</v>
      </c>
      <c r="I115" s="94">
        <f>SUM(I110:I114)</f>
        <v>10913.999250000001</v>
      </c>
      <c r="J115" s="111"/>
    </row>
    <row r="117" spans="1:16" ht="15" customHeight="1" thickBot="1" x14ac:dyDescent="0.25">
      <c r="C117" s="140" t="s">
        <v>153</v>
      </c>
    </row>
    <row r="118" spans="1:16" ht="15" customHeight="1" x14ac:dyDescent="0.2">
      <c r="A118" s="138"/>
      <c r="B118" s="101"/>
      <c r="C118" s="89"/>
      <c r="D118" s="89"/>
      <c r="E118" s="89"/>
      <c r="F118" s="76"/>
      <c r="G118" s="89"/>
      <c r="H118" s="282" t="s">
        <v>4</v>
      </c>
      <c r="I118" s="282"/>
      <c r="J118" s="90"/>
    </row>
    <row r="119" spans="1:16" ht="15" customHeight="1" x14ac:dyDescent="0.2">
      <c r="A119" s="138"/>
      <c r="B119" s="102"/>
      <c r="C119" s="77" t="s">
        <v>5</v>
      </c>
      <c r="D119" s="83" t="s">
        <v>6</v>
      </c>
      <c r="E119" s="78" t="s">
        <v>65</v>
      </c>
      <c r="F119" s="78"/>
      <c r="G119" s="103"/>
      <c r="H119" s="104" t="s">
        <v>9</v>
      </c>
      <c r="I119" s="104" t="s">
        <v>10</v>
      </c>
      <c r="J119" s="105"/>
    </row>
    <row r="120" spans="1:16" ht="4.9000000000000004" customHeight="1" x14ac:dyDescent="0.2">
      <c r="A120" s="138"/>
      <c r="B120" s="102"/>
      <c r="C120" s="79"/>
      <c r="D120" s="116"/>
      <c r="E120" s="112"/>
      <c r="F120" s="112"/>
      <c r="G120" s="107"/>
      <c r="H120" s="112"/>
      <c r="I120" s="112"/>
      <c r="J120" s="105"/>
    </row>
    <row r="121" spans="1:16" ht="15" customHeight="1" x14ac:dyDescent="0.2">
      <c r="A121" s="138"/>
      <c r="B121" s="102"/>
      <c r="C121" s="79" t="s">
        <v>87</v>
      </c>
      <c r="E121" s="180"/>
      <c r="F121" s="177"/>
      <c r="G121" s="107"/>
      <c r="H121" s="124">
        <f>I121/'Assumptions + Income'!$G$7</f>
        <v>0</v>
      </c>
      <c r="I121" s="119">
        <v>0</v>
      </c>
      <c r="J121" s="105"/>
    </row>
    <row r="122" spans="1:16" ht="15" customHeight="1" x14ac:dyDescent="0.2">
      <c r="A122" s="138"/>
      <c r="B122" s="102"/>
      <c r="C122" s="79" t="s">
        <v>88</v>
      </c>
      <c r="E122" s="180"/>
      <c r="F122" s="177"/>
      <c r="G122" s="107"/>
      <c r="H122" s="124">
        <f>I122/'Assumptions + Income'!$G$7</f>
        <v>36</v>
      </c>
      <c r="I122" s="119">
        <f>(8*4500)/5</f>
        <v>7200</v>
      </c>
      <c r="J122" s="105"/>
      <c r="L122" s="139" t="s">
        <v>200</v>
      </c>
    </row>
    <row r="123" spans="1:16" ht="15" customHeight="1" x14ac:dyDescent="0.2">
      <c r="A123" s="138"/>
      <c r="B123" s="102"/>
      <c r="C123" s="79" t="s">
        <v>89</v>
      </c>
      <c r="E123" s="180"/>
      <c r="F123" s="177"/>
      <c r="G123" s="107"/>
      <c r="H123" s="124">
        <f>I123/'Assumptions + Income'!$G$7</f>
        <v>0</v>
      </c>
      <c r="I123" s="119">
        <v>0</v>
      </c>
      <c r="J123" s="105"/>
    </row>
    <row r="124" spans="1:16" ht="4.9000000000000004" customHeight="1" thickBot="1" x14ac:dyDescent="0.25">
      <c r="A124" s="138"/>
      <c r="B124" s="102"/>
      <c r="C124" s="115"/>
      <c r="D124" s="160"/>
      <c r="E124" s="184"/>
      <c r="F124" s="185"/>
      <c r="G124" s="179"/>
      <c r="H124" s="154"/>
      <c r="I124" s="123"/>
      <c r="J124" s="105"/>
    </row>
    <row r="125" spans="1:16" ht="15" customHeight="1" thickTop="1" thickBot="1" x14ac:dyDescent="0.25">
      <c r="A125" s="138"/>
      <c r="B125" s="110"/>
      <c r="C125" s="81" t="s">
        <v>152</v>
      </c>
      <c r="D125" s="92"/>
      <c r="E125" s="92"/>
      <c r="F125" s="92"/>
      <c r="G125" s="92"/>
      <c r="H125" s="93">
        <f>SUM(H121:H124)</f>
        <v>36</v>
      </c>
      <c r="I125" s="94">
        <f>SUM(I121:I124)</f>
        <v>7200</v>
      </c>
      <c r="J125" s="111"/>
      <c r="K125" s="186"/>
      <c r="L125" s="186"/>
      <c r="M125" s="186"/>
      <c r="N125" s="186"/>
      <c r="O125" s="186"/>
      <c r="P125" s="186"/>
    </row>
    <row r="127" spans="1:16" ht="15" customHeight="1" thickBot="1" x14ac:dyDescent="0.25">
      <c r="C127" s="140" t="s">
        <v>154</v>
      </c>
    </row>
    <row r="128" spans="1:16" ht="15" customHeight="1" x14ac:dyDescent="0.2">
      <c r="B128" s="101"/>
      <c r="C128" s="89"/>
      <c r="D128" s="89"/>
      <c r="E128" s="89"/>
      <c r="F128" s="76"/>
      <c r="G128" s="89"/>
      <c r="H128" s="282" t="s">
        <v>4</v>
      </c>
      <c r="I128" s="282"/>
      <c r="J128" s="90"/>
      <c r="L128" s="139" t="s">
        <v>199</v>
      </c>
    </row>
    <row r="129" spans="2:12" ht="15" customHeight="1" x14ac:dyDescent="0.2">
      <c r="B129" s="102"/>
      <c r="C129" s="77" t="s">
        <v>5</v>
      </c>
      <c r="D129" s="83" t="s">
        <v>6</v>
      </c>
      <c r="E129" s="78" t="s">
        <v>65</v>
      </c>
      <c r="F129" s="78"/>
      <c r="G129" s="103"/>
      <c r="H129" s="104" t="s">
        <v>9</v>
      </c>
      <c r="I129" s="104" t="s">
        <v>10</v>
      </c>
      <c r="J129" s="105"/>
      <c r="L129" s="139" t="s">
        <v>201</v>
      </c>
    </row>
    <row r="130" spans="2:12" ht="5.0999999999999996" customHeight="1" x14ac:dyDescent="0.2">
      <c r="B130" s="102"/>
      <c r="C130" s="79"/>
      <c r="D130" s="116"/>
      <c r="E130" s="112"/>
      <c r="F130" s="112"/>
      <c r="G130" s="107"/>
      <c r="H130" s="112"/>
      <c r="I130" s="112"/>
      <c r="J130" s="105"/>
    </row>
    <row r="131" spans="2:12" ht="15" customHeight="1" x14ac:dyDescent="0.2">
      <c r="B131" s="102"/>
      <c r="C131" s="79" t="s">
        <v>155</v>
      </c>
      <c r="E131" s="180"/>
      <c r="F131" s="177"/>
      <c r="G131" s="107"/>
      <c r="H131" s="124">
        <f>I131/'Assumptions + Income'!$G$7</f>
        <v>304</v>
      </c>
      <c r="I131" s="119">
        <f>(340*200)-7200</f>
        <v>60800</v>
      </c>
      <c r="J131" s="105"/>
    </row>
    <row r="132" spans="2:12" ht="5.0999999999999996" customHeight="1" thickBot="1" x14ac:dyDescent="0.25">
      <c r="B132" s="102"/>
      <c r="C132" s="115"/>
      <c r="D132" s="160"/>
      <c r="E132" s="184"/>
      <c r="F132" s="185"/>
      <c r="G132" s="179"/>
      <c r="H132" s="154"/>
      <c r="I132" s="123"/>
      <c r="J132" s="105"/>
    </row>
    <row r="133" spans="2:12" ht="15" customHeight="1" thickTop="1" thickBot="1" x14ac:dyDescent="0.25">
      <c r="B133" s="110"/>
      <c r="C133" s="81" t="s">
        <v>152</v>
      </c>
      <c r="D133" s="92"/>
      <c r="E133" s="92"/>
      <c r="F133" s="92"/>
      <c r="G133" s="92"/>
      <c r="H133" s="93">
        <f>SUM(H131:H132)</f>
        <v>304</v>
      </c>
      <c r="I133" s="94">
        <f>SUM(I131:I132)</f>
        <v>60800</v>
      </c>
      <c r="J133" s="111"/>
      <c r="K133" s="186"/>
    </row>
    <row r="136" spans="2:12" ht="15" customHeight="1" x14ac:dyDescent="0.2">
      <c r="C136" s="253" t="s">
        <v>168</v>
      </c>
    </row>
    <row r="137" spans="2:12" ht="15" customHeight="1" x14ac:dyDescent="0.2">
      <c r="C137" s="253" t="s">
        <v>169</v>
      </c>
    </row>
  </sheetData>
  <sheetProtection password="CA5F" sheet="1"/>
  <mergeCells count="12">
    <mergeCell ref="H81:I81"/>
    <mergeCell ref="H28:I28"/>
    <mergeCell ref="H40:I40"/>
    <mergeCell ref="L6:L12"/>
    <mergeCell ref="H128:I128"/>
    <mergeCell ref="H3:I3"/>
    <mergeCell ref="H107:I107"/>
    <mergeCell ref="H93:I93"/>
    <mergeCell ref="H55:I55"/>
    <mergeCell ref="H17:I17"/>
    <mergeCell ref="H118:I118"/>
    <mergeCell ref="H66:I66"/>
  </mergeCells>
  <phoneticPr fontId="3" type="noConversion"/>
  <hyperlinks>
    <hyperlink ref="C136" r:id="rId1" xr:uid="{6A371C95-EB3A-4B16-8797-E569B68490AF}"/>
    <hyperlink ref="C137" r:id="rId2" xr:uid="{866EB829-49C3-4751-94FC-8751BD12EC32}"/>
  </hyperlinks>
  <printOptions horizontalCentered="1"/>
  <pageMargins left="0.75" right="0.75" top="1" bottom="1" header="0.5" footer="0.5"/>
  <pageSetup orientation="portrait" r:id="rId3"/>
  <headerFooter alignWithMargins="0"/>
  <rowBreaks count="2" manualBreakCount="2">
    <brk id="37" max="16383" man="1"/>
    <brk id="78" min="1" max="9" man="1"/>
  </rowBreaks>
  <ignoredErrors>
    <ignoredError sqref="H9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Summary Budget</vt:lpstr>
      <vt:lpstr>Assumptions + Income</vt:lpstr>
      <vt:lpstr>Cow Carrying Costs</vt:lpstr>
      <vt:lpstr>'Assumptions + Income'!Print_Area</vt:lpstr>
      <vt:lpstr>'Cow Carrying Costs'!Print_Area</vt:lpstr>
      <vt:lpstr>'Summary Budget'!Print_Area</vt:lpstr>
      <vt:lpstr>'Cow Carrying Costs'!Print_Titles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Sharp</dc:creator>
  <cp:lastModifiedBy>TJ McKee</cp:lastModifiedBy>
  <cp:lastPrinted>2026-04-20T18:13:43Z</cp:lastPrinted>
  <dcterms:created xsi:type="dcterms:W3CDTF">2005-01-26T22:32:31Z</dcterms:created>
  <dcterms:modified xsi:type="dcterms:W3CDTF">2026-10-14T21:25:36Z</dcterms:modified>
</cp:coreProperties>
</file>